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24226"/>
  <mc:AlternateContent xmlns:mc="http://schemas.openxmlformats.org/markup-compatibility/2006">
    <mc:Choice Requires="x15">
      <x15ac:absPath xmlns:x15ac="http://schemas.microsoft.com/office/spreadsheetml/2010/11/ac" url="K:\C A P  R A T E  S T U D I E S\CAP RATE STUDY 2023\2023 CAP Rate Study - All Industries\(3) Reviewed\"/>
    </mc:Choice>
  </mc:AlternateContent>
  <xr:revisionPtr revIDLastSave="0" documentId="13_ncr:1_{3F6BDFED-989D-4774-A5CC-BA52CD6D0E6E}" xr6:coauthVersionLast="47" xr6:coauthVersionMax="47" xr10:uidLastSave="{00000000-0000-0000-0000-000000000000}"/>
  <bookViews>
    <workbookView xWindow="23880" yWindow="-930" windowWidth="24240" windowHeight="13140" firstSheet="6" activeTab="9" xr2:uid="{00000000-000D-0000-FFFF-FFFF00000000}"/>
  </bookViews>
  <sheets>
    <sheet name="Cover Sheet" sheetId="6" r:id="rId1"/>
    <sheet name="Yield CapRate" sheetId="7" r:id="rId2"/>
    <sheet name="Direct CapRates" sheetId="10" r:id="rId3"/>
    <sheet name="S&amp;D" sheetId="3" r:id="rId4"/>
    <sheet name="Market to Book Ratios" sheetId="29" r:id="rId5"/>
    <sheet name="Maintenance CapEx" sheetId="11" r:id="rId6"/>
    <sheet name="Beta for CAPM" sheetId="14" r:id="rId7"/>
    <sheet name="Dividends " sheetId="17" r:id="rId8"/>
    <sheet name="Earnings" sheetId="27" r:id="rId9"/>
    <sheet name="Direct Debt" sheetId="13" r:id="rId10"/>
    <sheet name="Yield Debt" sheetId="8" r:id="rId11"/>
    <sheet name="Direct GCF" sheetId="5" r:id="rId12"/>
    <sheet name="Direct NOPAT" sheetId="12" r:id="rId13"/>
    <sheet name="Growth &amp; Inflation Rates" sheetId="24" r:id="rId14"/>
    <sheet name="Indicated Yield Equity Rates" sheetId="16" r:id="rId15"/>
    <sheet name="CAPM" sheetId="23" r:id="rId16"/>
    <sheet name="Single Stage Div Growth Model" sheetId="19" r:id="rId17"/>
    <sheet name="Two-Stage Dividend Growth Model" sheetId="20" r:id="rId18"/>
    <sheet name="Multiples" sheetId="31" r:id="rId19"/>
    <sheet name="Info" sheetId="9" r:id="rId20"/>
  </sheets>
  <definedNames>
    <definedName name="_xlnm.Print_Area" localSheetId="6">'Beta for CAPM'!$A$1:$I$41</definedName>
    <definedName name="_xlnm.Print_Area" localSheetId="15">CAPM!$A$1:$H$86</definedName>
    <definedName name="_xlnm.Print_Area" localSheetId="0">'Cover Sheet'!$A$1:$I$37</definedName>
    <definedName name="_xlnm.Print_Area" localSheetId="2">'Direct CapRates'!$A$1:$H$66</definedName>
    <definedName name="_xlnm.Print_Area" localSheetId="9">'Direct Debt'!$A$1:$K$38</definedName>
    <definedName name="_xlnm.Print_Area" localSheetId="11">'Direct GCF'!$A$1:$N$39</definedName>
    <definedName name="_xlnm.Print_Area" localSheetId="12">'Direct NOPAT'!$A$1:$N$68</definedName>
    <definedName name="_xlnm.Print_Area" localSheetId="7">'Dividends '!$A$1:$K$35</definedName>
    <definedName name="_xlnm.Print_Area" localSheetId="8">Earnings!$A$1:$K$35</definedName>
    <definedName name="_xlnm.Print_Area" localSheetId="13">'Growth &amp; Inflation Rates'!$A$1:$H$116</definedName>
    <definedName name="_xlnm.Print_Area" localSheetId="14">'Indicated Yield Equity Rates'!$A$1:$F$59</definedName>
    <definedName name="_xlnm.Print_Area" localSheetId="5">'Maintenance CapEx'!$A$1:$L$81</definedName>
    <definedName name="_xlnm.Print_Area" localSheetId="4">'Market to Book Ratios'!$A$1:$G$68</definedName>
    <definedName name="_xlnm.Print_Area" localSheetId="18">Multiples!$A$1:$I$42</definedName>
    <definedName name="_xlnm.Print_Area" localSheetId="3">'S&amp;D'!$A$1:$L$87</definedName>
    <definedName name="_xlnm.Print_Area" localSheetId="16">'Single Stage Div Growth Model'!$A$1:$K$49</definedName>
    <definedName name="_xlnm.Print_Area" localSheetId="17">'Two-Stage Dividend Growth Model'!$A$1:$I$47</definedName>
    <definedName name="_xlnm.Print_Area" localSheetId="1">'Yield CapRate'!$A$1:$H$35</definedName>
    <definedName name="_xlnm.Print_Area" localSheetId="10">'Yield Debt'!$A$1:$M$63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9" i="13" l="1"/>
  <c r="I26" i="13"/>
  <c r="I34" i="13" s="1"/>
  <c r="F93" i="24"/>
  <c r="E90" i="24"/>
  <c r="D90" i="24"/>
  <c r="F90" i="24" s="1"/>
  <c r="E89" i="24"/>
  <c r="F86" i="24"/>
  <c r="D86" i="24"/>
  <c r="F85" i="24"/>
  <c r="D85" i="24"/>
  <c r="F84" i="24"/>
  <c r="D84" i="24"/>
  <c r="F83" i="24"/>
  <c r="D83" i="24"/>
  <c r="F82" i="24"/>
  <c r="D82" i="24"/>
  <c r="F81" i="24"/>
  <c r="D81" i="24"/>
  <c r="F80" i="24"/>
  <c r="D80" i="24"/>
  <c r="F79" i="24"/>
  <c r="D79" i="24"/>
  <c r="D89" i="24" s="1"/>
  <c r="F89" i="24" s="1"/>
  <c r="D31" i="16"/>
  <c r="D17" i="16"/>
  <c r="F46" i="23"/>
  <c r="E46" i="23"/>
  <c r="D46" i="23"/>
  <c r="G46" i="23" s="1"/>
  <c r="C46" i="23"/>
  <c r="B46" i="23"/>
  <c r="A46" i="23"/>
  <c r="C20" i="23"/>
  <c r="D20" i="23"/>
  <c r="F20" i="23" s="1"/>
  <c r="F58" i="23"/>
  <c r="B58" i="23"/>
  <c r="E58" i="23" s="1"/>
  <c r="F48" i="23"/>
  <c r="B48" i="23"/>
  <c r="E48" i="23" s="1"/>
  <c r="F47" i="23"/>
  <c r="B47" i="23"/>
  <c r="E47" i="23" s="1"/>
  <c r="A6" i="31"/>
  <c r="A6" i="20"/>
  <c r="A6" i="19"/>
  <c r="A6" i="23"/>
  <c r="A6" i="16"/>
  <c r="A7" i="24"/>
  <c r="A6" i="12"/>
  <c r="A6" i="5"/>
  <c r="A6" i="13"/>
  <c r="A6" i="8"/>
  <c r="A6" i="27"/>
  <c r="A6" i="17"/>
  <c r="A8" i="14"/>
  <c r="A8" i="11"/>
  <c r="A9" i="29"/>
  <c r="D15" i="10"/>
  <c r="D16" i="7"/>
  <c r="A16" i="6"/>
  <c r="C16" i="23"/>
  <c r="C29" i="23" s="1"/>
  <c r="F61" i="23"/>
  <c r="B61" i="23"/>
  <c r="E61" i="23" s="1"/>
  <c r="F59" i="23"/>
  <c r="B59" i="23"/>
  <c r="E59" i="23" s="1"/>
  <c r="F57" i="23"/>
  <c r="B57" i="23"/>
  <c r="E57" i="23" s="1"/>
  <c r="F55" i="23"/>
  <c r="B55" i="23"/>
  <c r="E55" i="23" s="1"/>
  <c r="F54" i="23"/>
  <c r="B54" i="23"/>
  <c r="E54" i="23" s="1"/>
  <c r="F52" i="23"/>
  <c r="B52" i="23"/>
  <c r="E52" i="23" s="1"/>
  <c r="F50" i="23"/>
  <c r="B50" i="23"/>
  <c r="E50" i="23" s="1"/>
  <c r="F45" i="23"/>
  <c r="B45" i="23"/>
  <c r="E45" i="23" s="1"/>
  <c r="F43" i="23"/>
  <c r="B43" i="23"/>
  <c r="E43" i="23" s="1"/>
  <c r="F42" i="23"/>
  <c r="B42" i="23"/>
  <c r="E42" i="23" s="1"/>
  <c r="C32" i="23" l="1"/>
  <c r="C22" i="23"/>
  <c r="C21" i="23"/>
  <c r="C35" i="23"/>
  <c r="D35" i="23" s="1"/>
  <c r="F35" i="23" s="1"/>
  <c r="D27" i="16" s="1"/>
  <c r="C17" i="23"/>
  <c r="C43" i="23" s="1"/>
  <c r="D43" i="23" s="1"/>
  <c r="G43" i="23" s="1"/>
  <c r="D29" i="16" s="1"/>
  <c r="C42" i="23"/>
  <c r="D42" i="23" s="1"/>
  <c r="G42" i="23" s="1"/>
  <c r="D28" i="16" s="1"/>
  <c r="C28" i="23"/>
  <c r="C54" i="23" s="1"/>
  <c r="D54" i="23" s="1"/>
  <c r="G54" i="23" s="1"/>
  <c r="D36" i="16" s="1"/>
  <c r="C59" i="23"/>
  <c r="D59" i="23" s="1"/>
  <c r="G59" i="23" s="1"/>
  <c r="D40" i="16" s="1"/>
  <c r="C55" i="23"/>
  <c r="D55" i="23" s="1"/>
  <c r="G55" i="23" s="1"/>
  <c r="D37" i="16" s="1"/>
  <c r="D29" i="23"/>
  <c r="F29" i="23" s="1"/>
  <c r="C26" i="23"/>
  <c r="C33" i="23"/>
  <c r="D16" i="23"/>
  <c r="F16" i="23" s="1"/>
  <c r="C24" i="23"/>
  <c r="C31" i="23"/>
  <c r="C19" i="23"/>
  <c r="D17" i="23" l="1"/>
  <c r="F17" i="23" s="1"/>
  <c r="C48" i="23"/>
  <c r="D48" i="23" s="1"/>
  <c r="G48" i="23" s="1"/>
  <c r="D33" i="16" s="1"/>
  <c r="D22" i="23"/>
  <c r="F22" i="23" s="1"/>
  <c r="D19" i="16" s="1"/>
  <c r="D21" i="23"/>
  <c r="F21" i="23" s="1"/>
  <c r="D18" i="16" s="1"/>
  <c r="C47" i="23"/>
  <c r="D47" i="23" s="1"/>
  <c r="G47" i="23" s="1"/>
  <c r="D32" i="16" s="1"/>
  <c r="C58" i="23"/>
  <c r="D58" i="23" s="1"/>
  <c r="G58" i="23" s="1"/>
  <c r="D39" i="16" s="1"/>
  <c r="D32" i="23"/>
  <c r="F32" i="23" s="1"/>
  <c r="D25" i="16" s="1"/>
  <c r="D28" i="23"/>
  <c r="F28" i="23" s="1"/>
  <c r="D24" i="23"/>
  <c r="F24" i="23" s="1"/>
  <c r="C50" i="23"/>
  <c r="D50" i="23" s="1"/>
  <c r="G50" i="23" s="1"/>
  <c r="D34" i="16" s="1"/>
  <c r="D26" i="23"/>
  <c r="F26" i="23" s="1"/>
  <c r="C52" i="23"/>
  <c r="D52" i="23" s="1"/>
  <c r="G52" i="23" s="1"/>
  <c r="D35" i="16" s="1"/>
  <c r="C45" i="23"/>
  <c r="D45" i="23" s="1"/>
  <c r="G45" i="23" s="1"/>
  <c r="D30" i="16" s="1"/>
  <c r="D19" i="23"/>
  <c r="F19" i="23" s="1"/>
  <c r="C61" i="23"/>
  <c r="D61" i="23" s="1"/>
  <c r="G61" i="23" s="1"/>
  <c r="D41" i="16" s="1"/>
  <c r="D33" i="23"/>
  <c r="F33" i="23" s="1"/>
  <c r="D26" i="16" s="1"/>
  <c r="D31" i="23"/>
  <c r="F31" i="23" s="1"/>
  <c r="D24" i="16" s="1"/>
  <c r="C57" i="23"/>
  <c r="D57" i="23" s="1"/>
  <c r="G57" i="23" s="1"/>
  <c r="D38" i="16" s="1"/>
  <c r="D23" i="13" l="1"/>
  <c r="E23" i="13"/>
  <c r="C23" i="13"/>
  <c r="C19" i="13"/>
  <c r="D19" i="13"/>
  <c r="E19" i="13"/>
  <c r="J29" i="3"/>
  <c r="D24" i="13"/>
  <c r="D20" i="13"/>
  <c r="D26" i="13"/>
  <c r="G22" i="13"/>
  <c r="J22" i="13" s="1"/>
  <c r="F22" i="13"/>
  <c r="G21" i="13"/>
  <c r="F21" i="13"/>
  <c r="H21" i="13" s="1"/>
  <c r="I21" i="13" s="1"/>
  <c r="J21" i="13" l="1"/>
  <c r="H22" i="13"/>
  <c r="I22" i="13" s="1"/>
  <c r="D27" i="13" l="1"/>
  <c r="H28" i="13"/>
  <c r="G52" i="3"/>
  <c r="D29" i="13"/>
  <c r="E25" i="13"/>
  <c r="F24" i="13"/>
  <c r="G50" i="3"/>
  <c r="J30" i="3"/>
  <c r="D28" i="11"/>
  <c r="E28" i="11"/>
  <c r="A50" i="3"/>
  <c r="G20" i="11"/>
  <c r="E23" i="11"/>
  <c r="D49" i="29"/>
  <c r="J32" i="3"/>
  <c r="D15" i="16" l="1"/>
  <c r="J25" i="3"/>
  <c r="G49" i="3"/>
  <c r="J28" i="3"/>
  <c r="G47" i="3"/>
  <c r="F46" i="3"/>
  <c r="I31" i="3"/>
  <c r="J31" i="3"/>
  <c r="G51" i="3" s="1"/>
  <c r="G45" i="3"/>
  <c r="D23" i="11"/>
  <c r="J24" i="3"/>
  <c r="G44" i="3" s="1"/>
  <c r="I24" i="3"/>
  <c r="J26" i="3"/>
  <c r="H26" i="3"/>
  <c r="H23" i="3"/>
  <c r="B27" i="5"/>
  <c r="H27" i="5" s="1"/>
  <c r="A27" i="5"/>
  <c r="B26" i="5"/>
  <c r="H26" i="5" s="1"/>
  <c r="A26" i="5"/>
  <c r="B25" i="5"/>
  <c r="H25" i="5" s="1"/>
  <c r="A25" i="5"/>
  <c r="B24" i="5"/>
  <c r="H24" i="5" s="1"/>
  <c r="A24" i="5"/>
  <c r="B23" i="5"/>
  <c r="H23" i="5" s="1"/>
  <c r="A23" i="5"/>
  <c r="B22" i="5"/>
  <c r="H22" i="5" s="1"/>
  <c r="A22" i="5"/>
  <c r="B21" i="5"/>
  <c r="H21" i="5" s="1"/>
  <c r="A21" i="5"/>
  <c r="B20" i="5"/>
  <c r="H20" i="5" s="1"/>
  <c r="A20" i="5"/>
  <c r="B19" i="5"/>
  <c r="H19" i="5" s="1"/>
  <c r="A19" i="5"/>
  <c r="B18" i="5"/>
  <c r="H18" i="5" s="1"/>
  <c r="A18" i="5"/>
  <c r="C17" i="5"/>
  <c r="B17" i="5"/>
  <c r="H17" i="5" s="1"/>
  <c r="A17" i="5"/>
  <c r="F32" i="3"/>
  <c r="F31" i="3"/>
  <c r="F30" i="3"/>
  <c r="F29" i="3"/>
  <c r="F28" i="3"/>
  <c r="F27" i="3"/>
  <c r="G46" i="3"/>
  <c r="F26" i="3"/>
  <c r="F25" i="3"/>
  <c r="F24" i="3"/>
  <c r="J23" i="3"/>
  <c r="G43" i="3" s="1"/>
  <c r="F23" i="3"/>
  <c r="J22" i="3"/>
  <c r="G42" i="3" s="1"/>
  <c r="F22" i="3"/>
  <c r="C23" i="11"/>
  <c r="C24" i="11"/>
  <c r="C25" i="11"/>
  <c r="C26" i="11"/>
  <c r="C27" i="11"/>
  <c r="C28" i="11"/>
  <c r="C29" i="11"/>
  <c r="C30" i="11"/>
  <c r="C21" i="11"/>
  <c r="C22" i="11"/>
  <c r="C20" i="11"/>
  <c r="F21" i="20" l="1"/>
  <c r="F31" i="20" l="1"/>
  <c r="F27" i="20"/>
  <c r="F23" i="20"/>
  <c r="F30" i="20"/>
  <c r="F26" i="20"/>
  <c r="F22" i="20"/>
  <c r="F29" i="20"/>
  <c r="F25" i="20"/>
  <c r="F28" i="20"/>
  <c r="F24" i="20"/>
  <c r="G24" i="24"/>
  <c r="G29" i="13"/>
  <c r="G28" i="13"/>
  <c r="G27" i="13"/>
  <c r="G26" i="13"/>
  <c r="G25" i="13"/>
  <c r="G24" i="13"/>
  <c r="G23" i="13"/>
  <c r="G20" i="13"/>
  <c r="G19" i="13"/>
  <c r="F26" i="13" l="1"/>
  <c r="F25" i="13"/>
  <c r="F28" i="13"/>
  <c r="F27" i="13"/>
  <c r="F23" i="13"/>
  <c r="F29" i="13"/>
  <c r="F20" i="13"/>
  <c r="F19" i="13"/>
  <c r="E44" i="29"/>
  <c r="E31" i="20"/>
  <c r="E30" i="20"/>
  <c r="E29" i="20"/>
  <c r="E28" i="20"/>
  <c r="E27" i="20"/>
  <c r="E26" i="20"/>
  <c r="E25" i="20"/>
  <c r="E24" i="20"/>
  <c r="E23" i="20"/>
  <c r="E22" i="20"/>
  <c r="C31" i="20"/>
  <c r="B31" i="20"/>
  <c r="C30" i="20"/>
  <c r="B30" i="20"/>
  <c r="C29" i="20"/>
  <c r="B29" i="20"/>
  <c r="C28" i="20"/>
  <c r="B28" i="20"/>
  <c r="C27" i="20"/>
  <c r="B27" i="20"/>
  <c r="C26" i="20"/>
  <c r="B26" i="20"/>
  <c r="C25" i="20"/>
  <c r="B25" i="20"/>
  <c r="C24" i="20"/>
  <c r="B24" i="20"/>
  <c r="C23" i="20"/>
  <c r="B23" i="20"/>
  <c r="C22" i="20"/>
  <c r="B22" i="20"/>
  <c r="C21" i="20"/>
  <c r="B21" i="20"/>
  <c r="A31" i="20"/>
  <c r="A30" i="20"/>
  <c r="A29" i="20"/>
  <c r="A28" i="20"/>
  <c r="A27" i="20"/>
  <c r="A26" i="20"/>
  <c r="A25" i="20"/>
  <c r="A24" i="20"/>
  <c r="A23" i="20"/>
  <c r="A22" i="20"/>
  <c r="A21" i="20"/>
  <c r="D27" i="19"/>
  <c r="D26" i="19"/>
  <c r="D25" i="19"/>
  <c r="D24" i="19"/>
  <c r="D23" i="19"/>
  <c r="D22" i="19"/>
  <c r="D21" i="19"/>
  <c r="D20" i="19"/>
  <c r="D19" i="19"/>
  <c r="D18" i="19"/>
  <c r="C27" i="19"/>
  <c r="B27" i="19"/>
  <c r="A27" i="19"/>
  <c r="C26" i="19"/>
  <c r="B26" i="19"/>
  <c r="A26" i="19"/>
  <c r="C25" i="19"/>
  <c r="B25" i="19"/>
  <c r="A25" i="19"/>
  <c r="C24" i="19"/>
  <c r="B24" i="19"/>
  <c r="A24" i="19"/>
  <c r="C23" i="19"/>
  <c r="B23" i="19"/>
  <c r="A23" i="19"/>
  <c r="C22" i="19"/>
  <c r="B22" i="19"/>
  <c r="A22" i="19"/>
  <c r="C21" i="19"/>
  <c r="B21" i="19"/>
  <c r="A21" i="19"/>
  <c r="C20" i="19"/>
  <c r="B20" i="19"/>
  <c r="A20" i="19"/>
  <c r="C19" i="19"/>
  <c r="B19" i="19"/>
  <c r="A19" i="19"/>
  <c r="C18" i="19"/>
  <c r="B18" i="19"/>
  <c r="A18" i="19"/>
  <c r="C17" i="19"/>
  <c r="B17" i="19"/>
  <c r="A17" i="19"/>
  <c r="E21" i="20"/>
  <c r="C26" i="12" l="1"/>
  <c r="A26" i="12"/>
  <c r="C25" i="12"/>
  <c r="A25" i="12"/>
  <c r="C24" i="12"/>
  <c r="A24" i="12"/>
  <c r="C23" i="12"/>
  <c r="A23" i="12"/>
  <c r="C22" i="12"/>
  <c r="A22" i="12"/>
  <c r="C21" i="12"/>
  <c r="A21" i="12"/>
  <c r="C20" i="12"/>
  <c r="A20" i="12"/>
  <c r="C19" i="12"/>
  <c r="A19" i="12"/>
  <c r="C18" i="12"/>
  <c r="A18" i="12"/>
  <c r="C17" i="12"/>
  <c r="A17" i="12"/>
  <c r="C16" i="12"/>
  <c r="A16" i="12"/>
  <c r="C60" i="12"/>
  <c r="A60" i="12"/>
  <c r="C59" i="12"/>
  <c r="A59" i="12"/>
  <c r="C58" i="12"/>
  <c r="A58" i="12"/>
  <c r="C57" i="12"/>
  <c r="A57" i="12"/>
  <c r="C56" i="12"/>
  <c r="A56" i="12"/>
  <c r="C55" i="12"/>
  <c r="A55" i="12"/>
  <c r="C54" i="12"/>
  <c r="A54" i="12"/>
  <c r="C53" i="12"/>
  <c r="A53" i="12"/>
  <c r="C52" i="12"/>
  <c r="A52" i="12"/>
  <c r="C51" i="12"/>
  <c r="A51" i="12"/>
  <c r="C50" i="12"/>
  <c r="A50" i="12"/>
  <c r="E54" i="29" l="1"/>
  <c r="E52" i="29"/>
  <c r="D52" i="29"/>
  <c r="D51" i="29"/>
  <c r="D52" i="3" l="1"/>
  <c r="E27" i="19" s="1"/>
  <c r="C52" i="3"/>
  <c r="B52" i="3"/>
  <c r="D51" i="3"/>
  <c r="E26" i="19" s="1"/>
  <c r="C51" i="3"/>
  <c r="B51" i="3"/>
  <c r="D50" i="3"/>
  <c r="E25" i="19" s="1"/>
  <c r="C50" i="3"/>
  <c r="B50" i="3"/>
  <c r="C49" i="3"/>
  <c r="B49" i="3"/>
  <c r="D48" i="3"/>
  <c r="E23" i="19" s="1"/>
  <c r="C48" i="3"/>
  <c r="B48" i="3"/>
  <c r="G31" i="8" l="1"/>
  <c r="G30" i="8"/>
  <c r="G29" i="8"/>
  <c r="D45" i="16" l="1"/>
  <c r="D60" i="12"/>
  <c r="F60" i="12" s="1"/>
  <c r="G60" i="12" s="1"/>
  <c r="D59" i="12"/>
  <c r="F59" i="12" s="1"/>
  <c r="G59" i="12" s="1"/>
  <c r="D58" i="12"/>
  <c r="F58" i="12" s="1"/>
  <c r="G58" i="12" s="1"/>
  <c r="D57" i="12"/>
  <c r="F57" i="12" s="1"/>
  <c r="G57" i="12" s="1"/>
  <c r="D56" i="12"/>
  <c r="F56" i="12" s="1"/>
  <c r="G56" i="12" s="1"/>
  <c r="D55" i="12"/>
  <c r="F55" i="12" s="1"/>
  <c r="G55" i="12" s="1"/>
  <c r="D54" i="12"/>
  <c r="F54" i="12" s="1"/>
  <c r="G54" i="12" s="1"/>
  <c r="D53" i="12"/>
  <c r="F53" i="12" s="1"/>
  <c r="G53" i="12" s="1"/>
  <c r="D52" i="12"/>
  <c r="F52" i="12" s="1"/>
  <c r="G52" i="12" s="1"/>
  <c r="D51" i="12"/>
  <c r="D50" i="12"/>
  <c r="F50" i="12" s="1"/>
  <c r="G50" i="12" s="1"/>
  <c r="E65" i="12"/>
  <c r="E64" i="12"/>
  <c r="F51" i="12" l="1"/>
  <c r="G51" i="12" s="1"/>
  <c r="G64" i="12" s="1"/>
  <c r="F64" i="12" l="1"/>
  <c r="G65" i="12"/>
  <c r="F65" i="12"/>
  <c r="D26" i="31" l="1"/>
  <c r="C26" i="31"/>
  <c r="B26" i="31"/>
  <c r="D25" i="31"/>
  <c r="C25" i="31"/>
  <c r="B25" i="31"/>
  <c r="D24" i="31"/>
  <c r="C24" i="31"/>
  <c r="B24" i="31"/>
  <c r="D23" i="31"/>
  <c r="C23" i="31"/>
  <c r="B23" i="31"/>
  <c r="D22" i="31"/>
  <c r="C22" i="31"/>
  <c r="B22" i="31"/>
  <c r="D21" i="31"/>
  <c r="C21" i="31"/>
  <c r="B21" i="31"/>
  <c r="D20" i="31"/>
  <c r="C20" i="31"/>
  <c r="B20" i="31"/>
  <c r="D19" i="31"/>
  <c r="C19" i="31"/>
  <c r="B19" i="31"/>
  <c r="D18" i="31"/>
  <c r="C18" i="31"/>
  <c r="B18" i="31"/>
  <c r="D17" i="31"/>
  <c r="C17" i="31"/>
  <c r="B17" i="31"/>
  <c r="D16" i="31"/>
  <c r="C16" i="31"/>
  <c r="B16" i="31"/>
  <c r="F16" i="31" l="1"/>
  <c r="H16" i="31"/>
  <c r="F23" i="31"/>
  <c r="H23" i="31"/>
  <c r="F26" i="31"/>
  <c r="H26" i="31"/>
  <c r="F19" i="31"/>
  <c r="H19" i="31"/>
  <c r="F22" i="31"/>
  <c r="H22" i="31"/>
  <c r="F18" i="31"/>
  <c r="H18" i="31"/>
  <c r="F21" i="31"/>
  <c r="H21" i="31"/>
  <c r="F25" i="31"/>
  <c r="H25" i="31"/>
  <c r="F17" i="31"/>
  <c r="H17" i="31"/>
  <c r="F20" i="31"/>
  <c r="H20" i="31"/>
  <c r="F24" i="31"/>
  <c r="H24" i="31"/>
  <c r="F31" i="31" l="1"/>
  <c r="F30" i="31"/>
  <c r="H30" i="31"/>
  <c r="H31" i="31"/>
  <c r="C25" i="8"/>
  <c r="B25" i="8"/>
  <c r="A25" i="8"/>
  <c r="C24" i="8"/>
  <c r="B24" i="8"/>
  <c r="A24" i="8"/>
  <c r="C23" i="8"/>
  <c r="B23" i="8"/>
  <c r="A23" i="8"/>
  <c r="C22" i="8"/>
  <c r="B22" i="8"/>
  <c r="A22" i="8"/>
  <c r="C21" i="8"/>
  <c r="B21" i="8"/>
  <c r="A21" i="8"/>
  <c r="C20" i="8"/>
  <c r="B20" i="8"/>
  <c r="A20" i="8"/>
  <c r="C19" i="8"/>
  <c r="B19" i="8"/>
  <c r="A19" i="8"/>
  <c r="C18" i="8"/>
  <c r="B18" i="8"/>
  <c r="A18" i="8"/>
  <c r="C17" i="8"/>
  <c r="B17" i="8"/>
  <c r="A17" i="8"/>
  <c r="C16" i="8"/>
  <c r="B16" i="8"/>
  <c r="A16" i="8"/>
  <c r="C15" i="8"/>
  <c r="B15" i="8"/>
  <c r="A15" i="8"/>
  <c r="B29" i="13"/>
  <c r="A29" i="13"/>
  <c r="B28" i="13"/>
  <c r="A28" i="13"/>
  <c r="B27" i="13"/>
  <c r="A27" i="13"/>
  <c r="B26" i="13"/>
  <c r="A26" i="13"/>
  <c r="B25" i="13"/>
  <c r="A25" i="13"/>
  <c r="B24" i="13"/>
  <c r="A24" i="13"/>
  <c r="B23" i="13"/>
  <c r="A23" i="13"/>
  <c r="B22" i="13"/>
  <c r="A22" i="13"/>
  <c r="B21" i="13"/>
  <c r="A21" i="13"/>
  <c r="B20" i="13"/>
  <c r="A20" i="13"/>
  <c r="B19" i="13"/>
  <c r="A19" i="13"/>
  <c r="C26" i="27"/>
  <c r="B26" i="27"/>
  <c r="A26" i="27"/>
  <c r="C25" i="27"/>
  <c r="B25" i="27"/>
  <c r="A25" i="27"/>
  <c r="C24" i="27"/>
  <c r="B24" i="27"/>
  <c r="A24" i="27"/>
  <c r="C23" i="27"/>
  <c r="B23" i="27"/>
  <c r="A23" i="27"/>
  <c r="C22" i="27"/>
  <c r="B22" i="27"/>
  <c r="A22" i="27"/>
  <c r="C21" i="27"/>
  <c r="B21" i="27"/>
  <c r="A21" i="27"/>
  <c r="C20" i="27"/>
  <c r="B20" i="27"/>
  <c r="A20" i="27"/>
  <c r="C19" i="27"/>
  <c r="B19" i="27"/>
  <c r="A19" i="27"/>
  <c r="C18" i="27"/>
  <c r="B18" i="27"/>
  <c r="A18" i="27"/>
  <c r="C17" i="27"/>
  <c r="B17" i="27"/>
  <c r="A17" i="27"/>
  <c r="C16" i="27"/>
  <c r="B16" i="27"/>
  <c r="A16" i="27"/>
  <c r="C26" i="17"/>
  <c r="B26" i="17"/>
  <c r="A26" i="17"/>
  <c r="C25" i="17"/>
  <c r="B25" i="17"/>
  <c r="A25" i="17"/>
  <c r="C24" i="17"/>
  <c r="B24" i="17"/>
  <c r="A24" i="17"/>
  <c r="C23" i="17"/>
  <c r="B23" i="17"/>
  <c r="A23" i="17"/>
  <c r="C22" i="17"/>
  <c r="B22" i="17"/>
  <c r="A22" i="17"/>
  <c r="C21" i="17"/>
  <c r="B21" i="17"/>
  <c r="A21" i="17"/>
  <c r="C20" i="17"/>
  <c r="B20" i="17"/>
  <c r="A20" i="17"/>
  <c r="C19" i="17"/>
  <c r="B19" i="17"/>
  <c r="A19" i="17"/>
  <c r="C18" i="17"/>
  <c r="B18" i="17"/>
  <c r="A18" i="17"/>
  <c r="C17" i="17"/>
  <c r="B17" i="17"/>
  <c r="A17" i="17"/>
  <c r="C16" i="17"/>
  <c r="B16" i="17"/>
  <c r="A16" i="17"/>
  <c r="C28" i="14"/>
  <c r="B28" i="14"/>
  <c r="A28" i="14"/>
  <c r="C27" i="14"/>
  <c r="B27" i="14"/>
  <c r="A27" i="14"/>
  <c r="C26" i="14"/>
  <c r="B26" i="14"/>
  <c r="A26" i="14"/>
  <c r="C25" i="14"/>
  <c r="B25" i="14"/>
  <c r="A25" i="14"/>
  <c r="C24" i="14"/>
  <c r="B24" i="14"/>
  <c r="A24" i="14"/>
  <c r="C23" i="14"/>
  <c r="B23" i="14"/>
  <c r="A23" i="14"/>
  <c r="C22" i="14"/>
  <c r="B22" i="14"/>
  <c r="A22" i="14"/>
  <c r="C21" i="14"/>
  <c r="B21" i="14"/>
  <c r="A21" i="14"/>
  <c r="C20" i="14"/>
  <c r="B20" i="14"/>
  <c r="A20" i="14"/>
  <c r="C19" i="14"/>
  <c r="B19" i="14"/>
  <c r="A19" i="14"/>
  <c r="C18" i="14"/>
  <c r="B18" i="14"/>
  <c r="A18" i="14"/>
  <c r="B30" i="11"/>
  <c r="A30" i="11"/>
  <c r="B29" i="11"/>
  <c r="A29" i="11"/>
  <c r="B28" i="11"/>
  <c r="A28" i="11"/>
  <c r="B27" i="11"/>
  <c r="A27" i="11"/>
  <c r="B26" i="11"/>
  <c r="A26" i="11"/>
  <c r="B25" i="11"/>
  <c r="A25" i="11"/>
  <c r="B24" i="11"/>
  <c r="A24" i="11"/>
  <c r="B23" i="11"/>
  <c r="A23" i="11"/>
  <c r="B22" i="11"/>
  <c r="A22" i="11"/>
  <c r="B21" i="11"/>
  <c r="A21" i="11"/>
  <c r="B20" i="11"/>
  <c r="A20" i="11"/>
  <c r="C32" i="29"/>
  <c r="B32" i="29"/>
  <c r="A32" i="29"/>
  <c r="C31" i="29"/>
  <c r="B31" i="29"/>
  <c r="A31" i="29"/>
  <c r="C30" i="29"/>
  <c r="B30" i="29"/>
  <c r="A30" i="29"/>
  <c r="C29" i="29"/>
  <c r="B29" i="29"/>
  <c r="A29" i="29"/>
  <c r="C28" i="29"/>
  <c r="B28" i="29"/>
  <c r="A28" i="29"/>
  <c r="C27" i="29"/>
  <c r="B27" i="29"/>
  <c r="A27" i="29"/>
  <c r="C26" i="29"/>
  <c r="B26" i="29"/>
  <c r="A26" i="29"/>
  <c r="C25" i="29"/>
  <c r="B25" i="29"/>
  <c r="A25" i="29"/>
  <c r="C24" i="29"/>
  <c r="B24" i="29"/>
  <c r="A24" i="29"/>
  <c r="C23" i="29"/>
  <c r="B23" i="29"/>
  <c r="A23" i="29"/>
  <c r="C22" i="29"/>
  <c r="B22" i="29"/>
  <c r="A22" i="29"/>
  <c r="C54" i="29"/>
  <c r="B54" i="29"/>
  <c r="A54" i="29"/>
  <c r="C53" i="29"/>
  <c r="B53" i="29"/>
  <c r="A53" i="29"/>
  <c r="C52" i="29"/>
  <c r="B52" i="29"/>
  <c r="A52" i="29"/>
  <c r="C51" i="29"/>
  <c r="B51" i="29"/>
  <c r="A51" i="29"/>
  <c r="C50" i="29"/>
  <c r="B50" i="29"/>
  <c r="A50" i="29"/>
  <c r="C49" i="29"/>
  <c r="B49" i="29"/>
  <c r="A49" i="29"/>
  <c r="C48" i="29"/>
  <c r="B48" i="29"/>
  <c r="A48" i="29"/>
  <c r="C47" i="29"/>
  <c r="B47" i="29"/>
  <c r="A47" i="29"/>
  <c r="C46" i="29"/>
  <c r="B46" i="29"/>
  <c r="A46" i="29"/>
  <c r="C45" i="29"/>
  <c r="B45" i="29"/>
  <c r="A45" i="29"/>
  <c r="C44" i="29"/>
  <c r="B44" i="29"/>
  <c r="A44" i="29"/>
  <c r="D25" i="8"/>
  <c r="D24" i="8"/>
  <c r="D23" i="8"/>
  <c r="D22" i="8"/>
  <c r="D21" i="8"/>
  <c r="D20" i="8"/>
  <c r="D19" i="8"/>
  <c r="D18" i="8"/>
  <c r="D17" i="8"/>
  <c r="D16" i="8"/>
  <c r="D15" i="8"/>
  <c r="G64" i="10"/>
  <c r="K17" i="17"/>
  <c r="K16" i="17"/>
  <c r="F52" i="29"/>
  <c r="B63" i="29"/>
  <c r="I31" i="27"/>
  <c r="G31" i="27"/>
  <c r="E31" i="27"/>
  <c r="I30" i="27"/>
  <c r="G30" i="27"/>
  <c r="E30" i="27"/>
  <c r="K26" i="27"/>
  <c r="D26" i="27"/>
  <c r="J26" i="27" s="1"/>
  <c r="K25" i="27"/>
  <c r="D25" i="27"/>
  <c r="F25" i="27" s="1"/>
  <c r="K24" i="27"/>
  <c r="D24" i="27"/>
  <c r="H24" i="27" s="1"/>
  <c r="K23" i="27"/>
  <c r="D23" i="27"/>
  <c r="J23" i="27" s="1"/>
  <c r="K22" i="27"/>
  <c r="D22" i="27"/>
  <c r="H22" i="27" s="1"/>
  <c r="K21" i="27"/>
  <c r="D21" i="27"/>
  <c r="F21" i="27" s="1"/>
  <c r="K20" i="27"/>
  <c r="D20" i="27"/>
  <c r="H20" i="27" s="1"/>
  <c r="K19" i="27"/>
  <c r="D19" i="27"/>
  <c r="H19" i="27" s="1"/>
  <c r="K18" i="27"/>
  <c r="D18" i="27"/>
  <c r="F18" i="27" s="1"/>
  <c r="K17" i="27"/>
  <c r="D17" i="27"/>
  <c r="H17" i="27" s="1"/>
  <c r="K16" i="27"/>
  <c r="D16" i="27"/>
  <c r="J16" i="27" s="1"/>
  <c r="K26" i="17"/>
  <c r="K25" i="17"/>
  <c r="K24" i="17"/>
  <c r="K23" i="17"/>
  <c r="K22" i="17"/>
  <c r="K21" i="17"/>
  <c r="K20" i="17"/>
  <c r="K19" i="17"/>
  <c r="K18" i="17"/>
  <c r="J31" i="8"/>
  <c r="I31" i="8"/>
  <c r="A24" i="24" l="1"/>
  <c r="A15" i="24"/>
  <c r="G30" i="20"/>
  <c r="G26" i="20"/>
  <c r="G23" i="20"/>
  <c r="G28" i="20"/>
  <c r="G31" i="20"/>
  <c r="G24" i="20"/>
  <c r="G29" i="20"/>
  <c r="G25" i="20"/>
  <c r="G22" i="20"/>
  <c r="G27" i="20"/>
  <c r="J17" i="27"/>
  <c r="F20" i="27"/>
  <c r="J20" i="27"/>
  <c r="F17" i="27"/>
  <c r="D48" i="10"/>
  <c r="J22" i="27"/>
  <c r="H26" i="27"/>
  <c r="F19" i="27"/>
  <c r="F24" i="27"/>
  <c r="J19" i="27"/>
  <c r="F22" i="27"/>
  <c r="H23" i="27"/>
  <c r="J24" i="27"/>
  <c r="K31" i="27"/>
  <c r="D16" i="24" s="1"/>
  <c r="H18" i="27"/>
  <c r="H21" i="27"/>
  <c r="H25" i="27"/>
  <c r="K30" i="27"/>
  <c r="D15" i="24" s="1"/>
  <c r="F16" i="27"/>
  <c r="J18" i="27"/>
  <c r="J21" i="27"/>
  <c r="F23" i="27"/>
  <c r="J25" i="27"/>
  <c r="F26" i="27"/>
  <c r="H16" i="27"/>
  <c r="K30" i="17"/>
  <c r="C15" i="24" s="1"/>
  <c r="K31" i="17"/>
  <c r="C16" i="24" s="1"/>
  <c r="J31" i="27" l="1"/>
  <c r="J30" i="27"/>
  <c r="F31" i="27"/>
  <c r="F30" i="27"/>
  <c r="H31" i="27"/>
  <c r="H30" i="27"/>
  <c r="I31" i="17" l="1"/>
  <c r="I30" i="17"/>
  <c r="I24" i="12" l="1"/>
  <c r="C25" i="5"/>
  <c r="I25" i="5" s="1"/>
  <c r="L25" i="5" s="1"/>
  <c r="M25" i="5" s="1"/>
  <c r="J27" i="13"/>
  <c r="H27" i="13"/>
  <c r="I27" i="13" s="1"/>
  <c r="D24" i="17"/>
  <c r="D30" i="29"/>
  <c r="F30" i="29" s="1"/>
  <c r="E50" i="3"/>
  <c r="F28" i="11"/>
  <c r="H28" i="11" s="1"/>
  <c r="D24" i="12"/>
  <c r="F24" i="12" s="1"/>
  <c r="G24" i="12" s="1"/>
  <c r="H24" i="24"/>
  <c r="D23" i="7"/>
  <c r="D58" i="10"/>
  <c r="E25" i="5" l="1"/>
  <c r="F25" i="5" s="1"/>
  <c r="H24" i="17"/>
  <c r="J24" i="17"/>
  <c r="J24" i="12"/>
  <c r="L24" i="12" s="1"/>
  <c r="M24" i="12" s="1"/>
  <c r="H50" i="3"/>
  <c r="J50" i="3" s="1"/>
  <c r="F24" i="17"/>
  <c r="J28" i="11"/>
  <c r="I28" i="11"/>
  <c r="F25" i="19" l="1"/>
  <c r="I50" i="3"/>
  <c r="K28" i="11"/>
  <c r="L28" i="11" s="1"/>
  <c r="G31" i="10"/>
  <c r="D23" i="16"/>
  <c r="D22" i="16"/>
  <c r="D21" i="16"/>
  <c r="D20" i="16"/>
  <c r="D16" i="16"/>
  <c r="D14" i="16"/>
  <c r="D25" i="10"/>
  <c r="D43" i="16"/>
  <c r="D42" i="16"/>
  <c r="D44" i="16"/>
  <c r="D51" i="16" l="1"/>
  <c r="D49" i="16"/>
  <c r="D50" i="16"/>
  <c r="J25" i="19"/>
  <c r="D29" i="20"/>
  <c r="H29" i="20" s="1"/>
  <c r="I25" i="19"/>
  <c r="G21" i="20"/>
  <c r="H31" i="19"/>
  <c r="G31" i="19"/>
  <c r="H30" i="19"/>
  <c r="D17" i="19"/>
  <c r="G31" i="17"/>
  <c r="G30" i="17"/>
  <c r="D26" i="17"/>
  <c r="J26" i="17" s="1"/>
  <c r="D25" i="17"/>
  <c r="J25" i="17" s="1"/>
  <c r="D23" i="17"/>
  <c r="J23" i="17" s="1"/>
  <c r="D22" i="17"/>
  <c r="J22" i="17" s="1"/>
  <c r="D21" i="17"/>
  <c r="J21" i="17" s="1"/>
  <c r="D20" i="17"/>
  <c r="J20" i="17" s="1"/>
  <c r="D19" i="17"/>
  <c r="J19" i="17" s="1"/>
  <c r="D18" i="17"/>
  <c r="J18" i="17" s="1"/>
  <c r="D17" i="17"/>
  <c r="J17" i="17" s="1"/>
  <c r="D16" i="17"/>
  <c r="J16" i="17" s="1"/>
  <c r="E31" i="17"/>
  <c r="E30" i="17"/>
  <c r="I32" i="14"/>
  <c r="I31" i="14"/>
  <c r="I30" i="8"/>
  <c r="I29" i="8"/>
  <c r="F30" i="11"/>
  <c r="H30" i="11" s="1"/>
  <c r="F29" i="11"/>
  <c r="H29" i="11" s="1"/>
  <c r="F27" i="11"/>
  <c r="H27" i="11" s="1"/>
  <c r="F26" i="11"/>
  <c r="H26" i="11" s="1"/>
  <c r="F25" i="11"/>
  <c r="H25" i="11" s="1"/>
  <c r="F24" i="11"/>
  <c r="H24" i="11" s="1"/>
  <c r="F23" i="11"/>
  <c r="H23" i="11" s="1"/>
  <c r="F22" i="11"/>
  <c r="H22" i="11" s="1"/>
  <c r="F21" i="11"/>
  <c r="H21" i="11" s="1"/>
  <c r="F20" i="11"/>
  <c r="H20" i="11" s="1"/>
  <c r="E25" i="8"/>
  <c r="E24" i="8"/>
  <c r="E22" i="8"/>
  <c r="E21" i="8"/>
  <c r="E20" i="8"/>
  <c r="E19" i="8"/>
  <c r="E18" i="8"/>
  <c r="E17" i="8"/>
  <c r="E16" i="8"/>
  <c r="E15" i="8"/>
  <c r="C27" i="5"/>
  <c r="I27" i="5" s="1"/>
  <c r="L27" i="5" s="1"/>
  <c r="C26" i="5"/>
  <c r="I26" i="5" s="1"/>
  <c r="L26" i="5" s="1"/>
  <c r="C24" i="5"/>
  <c r="I24" i="5" s="1"/>
  <c r="L24" i="5" s="1"/>
  <c r="C23" i="5"/>
  <c r="I23" i="5" s="1"/>
  <c r="L23" i="5" s="1"/>
  <c r="C22" i="5"/>
  <c r="I22" i="5" s="1"/>
  <c r="L22" i="5" s="1"/>
  <c r="C21" i="5"/>
  <c r="I21" i="5" s="1"/>
  <c r="L21" i="5" s="1"/>
  <c r="C20" i="5"/>
  <c r="I20" i="5" s="1"/>
  <c r="L20" i="5" s="1"/>
  <c r="C19" i="5"/>
  <c r="I19" i="5" s="1"/>
  <c r="L19" i="5" s="1"/>
  <c r="C18" i="5"/>
  <c r="I18" i="5" s="1"/>
  <c r="L18" i="5" s="1"/>
  <c r="I17" i="5"/>
  <c r="L17" i="5" s="1"/>
  <c r="J37" i="12"/>
  <c r="D23" i="10" s="1"/>
  <c r="I37" i="12"/>
  <c r="H36" i="5"/>
  <c r="D56" i="10" s="1"/>
  <c r="G36" i="5"/>
  <c r="H32" i="14"/>
  <c r="H31" i="14"/>
  <c r="J29" i="13"/>
  <c r="J28" i="13"/>
  <c r="J26" i="13"/>
  <c r="J25" i="13"/>
  <c r="J24" i="13"/>
  <c r="J23" i="13"/>
  <c r="J20" i="13"/>
  <c r="J19" i="13"/>
  <c r="I28" i="13"/>
  <c r="H26" i="13"/>
  <c r="H25" i="13"/>
  <c r="I25" i="13" s="1"/>
  <c r="H24" i="13"/>
  <c r="I24" i="13" s="1"/>
  <c r="H23" i="13"/>
  <c r="I23" i="13" s="1"/>
  <c r="H20" i="13"/>
  <c r="I20" i="13" s="1"/>
  <c r="H19" i="13"/>
  <c r="K31" i="12"/>
  <c r="E31" i="12"/>
  <c r="K30" i="12"/>
  <c r="E30" i="12"/>
  <c r="D26" i="12"/>
  <c r="F26" i="12" s="1"/>
  <c r="G26" i="12" s="1"/>
  <c r="D25" i="12"/>
  <c r="J25" i="12" s="1"/>
  <c r="D23" i="12"/>
  <c r="D22" i="12"/>
  <c r="F22" i="12" s="1"/>
  <c r="G22" i="12" s="1"/>
  <c r="D21" i="12"/>
  <c r="F21" i="12" s="1"/>
  <c r="G21" i="12" s="1"/>
  <c r="D20" i="12"/>
  <c r="J20" i="12" s="1"/>
  <c r="D19" i="12"/>
  <c r="F19" i="12" s="1"/>
  <c r="G19" i="12" s="1"/>
  <c r="D18" i="12"/>
  <c r="F18" i="12" s="1"/>
  <c r="G18" i="12" s="1"/>
  <c r="D17" i="12"/>
  <c r="J17" i="12" s="1"/>
  <c r="D16" i="12"/>
  <c r="J16" i="12" s="1"/>
  <c r="J20" i="11" l="1"/>
  <c r="I20" i="11"/>
  <c r="J34" i="13"/>
  <c r="J31" i="17"/>
  <c r="J30" i="17"/>
  <c r="J33" i="13"/>
  <c r="J18" i="12"/>
  <c r="L20" i="12"/>
  <c r="M20" i="12" s="1"/>
  <c r="L25" i="12"/>
  <c r="M25" i="12" s="1"/>
  <c r="L16" i="12"/>
  <c r="H17" i="17"/>
  <c r="F17" i="17"/>
  <c r="H25" i="17"/>
  <c r="F25" i="17"/>
  <c r="H19" i="17"/>
  <c r="F19" i="17"/>
  <c r="H22" i="17"/>
  <c r="F22" i="17"/>
  <c r="H26" i="17"/>
  <c r="F26" i="17"/>
  <c r="J21" i="12"/>
  <c r="H20" i="17"/>
  <c r="F20" i="17"/>
  <c r="H18" i="17"/>
  <c r="F18" i="17"/>
  <c r="H21" i="17"/>
  <c r="F21" i="17"/>
  <c r="H16" i="17"/>
  <c r="F16" i="17"/>
  <c r="H23" i="17"/>
  <c r="F23" i="17"/>
  <c r="J19" i="12"/>
  <c r="J22" i="12"/>
  <c r="J26" i="12"/>
  <c r="L17" i="12"/>
  <c r="M17" i="12" s="1"/>
  <c r="J23" i="12"/>
  <c r="F16" i="12"/>
  <c r="G16" i="12" s="1"/>
  <c r="F23" i="12"/>
  <c r="G23" i="12" s="1"/>
  <c r="F20" i="12"/>
  <c r="G20" i="12" s="1"/>
  <c r="F17" i="12"/>
  <c r="G17" i="12" s="1"/>
  <c r="F25" i="12"/>
  <c r="G25" i="12" s="1"/>
  <c r="K20" i="11" l="1"/>
  <c r="L20" i="11" s="1"/>
  <c r="F26" i="19"/>
  <c r="F19" i="19"/>
  <c r="I19" i="19" s="1"/>
  <c r="F20" i="19"/>
  <c r="D24" i="20" s="1"/>
  <c r="H24" i="20" s="1"/>
  <c r="F21" i="19"/>
  <c r="F22" i="19"/>
  <c r="D26" i="20" s="1"/>
  <c r="H26" i="20" s="1"/>
  <c r="F23" i="19"/>
  <c r="F24" i="19"/>
  <c r="F27" i="19"/>
  <c r="F18" i="19"/>
  <c r="L18" i="12"/>
  <c r="M18" i="12" s="1"/>
  <c r="L26" i="12"/>
  <c r="M26" i="12" s="1"/>
  <c r="L23" i="12"/>
  <c r="M23" i="12" s="1"/>
  <c r="L22" i="12"/>
  <c r="M22" i="12" s="1"/>
  <c r="F30" i="17"/>
  <c r="F31" i="17"/>
  <c r="L21" i="12"/>
  <c r="M21" i="12" s="1"/>
  <c r="L19" i="12"/>
  <c r="M19" i="12" s="1"/>
  <c r="F17" i="19"/>
  <c r="D21" i="20" s="1"/>
  <c r="H21" i="20" s="1"/>
  <c r="H30" i="17"/>
  <c r="H31" i="17"/>
  <c r="J22" i="19"/>
  <c r="G30" i="12"/>
  <c r="F31" i="12"/>
  <c r="F30" i="12"/>
  <c r="M16" i="12"/>
  <c r="G31" i="12"/>
  <c r="I22" i="19" l="1"/>
  <c r="J27" i="19"/>
  <c r="D31" i="20"/>
  <c r="H31" i="20" s="1"/>
  <c r="J23" i="19"/>
  <c r="D27" i="20"/>
  <c r="H27" i="20" s="1"/>
  <c r="J21" i="19"/>
  <c r="D25" i="20"/>
  <c r="H25" i="20" s="1"/>
  <c r="I23" i="19"/>
  <c r="J20" i="19"/>
  <c r="J18" i="19"/>
  <c r="D22" i="20"/>
  <c r="H22" i="20" s="1"/>
  <c r="J24" i="19"/>
  <c r="D28" i="20"/>
  <c r="H28" i="20" s="1"/>
  <c r="J19" i="19"/>
  <c r="D23" i="20"/>
  <c r="H23" i="20" s="1"/>
  <c r="J26" i="19"/>
  <c r="D30" i="20"/>
  <c r="H30" i="20" s="1"/>
  <c r="I20" i="19"/>
  <c r="I24" i="19"/>
  <c r="I26" i="19"/>
  <c r="I21" i="19"/>
  <c r="I27" i="19"/>
  <c r="I18" i="19"/>
  <c r="L31" i="12"/>
  <c r="L30" i="12"/>
  <c r="J17" i="19"/>
  <c r="F31" i="19"/>
  <c r="F30" i="19"/>
  <c r="I17" i="19"/>
  <c r="M31" i="12"/>
  <c r="M30" i="12"/>
  <c r="H35" i="20" l="1"/>
  <c r="H34" i="20"/>
  <c r="J31" i="19"/>
  <c r="J30" i="19"/>
  <c r="I31" i="19"/>
  <c r="I30" i="19"/>
  <c r="J32" i="5"/>
  <c r="J31" i="5"/>
  <c r="J30" i="11"/>
  <c r="J29" i="11"/>
  <c r="J27" i="11"/>
  <c r="J26" i="11"/>
  <c r="J25" i="11"/>
  <c r="J24" i="11"/>
  <c r="J23" i="11"/>
  <c r="J22" i="11"/>
  <c r="J21" i="11"/>
  <c r="I30" i="11"/>
  <c r="I29" i="11"/>
  <c r="I27" i="11"/>
  <c r="I26" i="11"/>
  <c r="I25" i="11"/>
  <c r="I24" i="11"/>
  <c r="I23" i="11"/>
  <c r="I22" i="11"/>
  <c r="I21" i="11"/>
  <c r="F56" i="10"/>
  <c r="C58" i="10"/>
  <c r="C56" i="10"/>
  <c r="F58" i="10"/>
  <c r="F25" i="10"/>
  <c r="C25" i="10"/>
  <c r="F23" i="10"/>
  <c r="C23" i="10"/>
  <c r="K30" i="11" l="1"/>
  <c r="L30" i="11" s="1"/>
  <c r="K22" i="11"/>
  <c r="L22" i="11" s="1"/>
  <c r="K21" i="11"/>
  <c r="L21" i="11" s="1"/>
  <c r="K27" i="11"/>
  <c r="L27" i="11" s="1"/>
  <c r="K26" i="11"/>
  <c r="L26" i="11" s="1"/>
  <c r="K25" i="11"/>
  <c r="L25" i="11" s="1"/>
  <c r="K24" i="11"/>
  <c r="L24" i="11" s="1"/>
  <c r="K23" i="11"/>
  <c r="L23" i="11" s="1"/>
  <c r="K29" i="11"/>
  <c r="L29" i="11" s="1"/>
  <c r="G25" i="10"/>
  <c r="C27" i="10"/>
  <c r="C60" i="10"/>
  <c r="G23" i="10"/>
  <c r="G56" i="10"/>
  <c r="G58" i="10"/>
  <c r="E53" i="29"/>
  <c r="D49" i="3"/>
  <c r="E24" i="19" s="1"/>
  <c r="E50" i="29"/>
  <c r="E49" i="29"/>
  <c r="E48" i="29"/>
  <c r="E47" i="29"/>
  <c r="E46" i="29"/>
  <c r="E45" i="29"/>
  <c r="D54" i="29" l="1"/>
  <c r="F54" i="29" s="1"/>
  <c r="E51" i="29"/>
  <c r="F51" i="29" s="1"/>
  <c r="D50" i="29"/>
  <c r="D46" i="29"/>
  <c r="D48" i="29"/>
  <c r="D44" i="29"/>
  <c r="D47" i="29"/>
  <c r="D53" i="29"/>
  <c r="D45" i="29"/>
  <c r="L34" i="11"/>
  <c r="L35" i="11"/>
  <c r="G27" i="10"/>
  <c r="G60" i="10"/>
  <c r="M18" i="5"/>
  <c r="M19" i="5"/>
  <c r="M20" i="5"/>
  <c r="M21" i="5"/>
  <c r="M22" i="5"/>
  <c r="M23" i="5"/>
  <c r="M24" i="5"/>
  <c r="M26" i="5"/>
  <c r="M27" i="5"/>
  <c r="F47" i="29" l="1"/>
  <c r="F48" i="29"/>
  <c r="F50" i="29"/>
  <c r="F49" i="29"/>
  <c r="F45" i="29"/>
  <c r="F53" i="29"/>
  <c r="F44" i="29"/>
  <c r="F46" i="29"/>
  <c r="M17" i="5"/>
  <c r="L31" i="5"/>
  <c r="L32" i="5"/>
  <c r="F55" i="29" l="1"/>
  <c r="D63" i="29" s="1"/>
  <c r="M32" i="5"/>
  <c r="M31" i="5"/>
  <c r="E17" i="5" l="1"/>
  <c r="E44" i="3" l="1"/>
  <c r="A52" i="3" l="1"/>
  <c r="A51" i="3"/>
  <c r="A49" i="3"/>
  <c r="A48" i="3"/>
  <c r="A47" i="3"/>
  <c r="A46" i="3"/>
  <c r="A45" i="3"/>
  <c r="A44" i="3"/>
  <c r="A43" i="3"/>
  <c r="D32" i="29"/>
  <c r="F32" i="29" s="1"/>
  <c r="D31" i="29"/>
  <c r="F31" i="29" s="1"/>
  <c r="D29" i="29"/>
  <c r="F29" i="29" s="1"/>
  <c r="D28" i="29"/>
  <c r="F28" i="29" s="1"/>
  <c r="D47" i="3"/>
  <c r="D46" i="3"/>
  <c r="D45" i="3"/>
  <c r="D44" i="3"/>
  <c r="D43" i="3"/>
  <c r="D27" i="29" l="1"/>
  <c r="F27" i="29" s="1"/>
  <c r="E22" i="19"/>
  <c r="D26" i="29"/>
  <c r="F26" i="29" s="1"/>
  <c r="E21" i="19"/>
  <c r="D24" i="29"/>
  <c r="F24" i="29" s="1"/>
  <c r="E19" i="19"/>
  <c r="D25" i="29"/>
  <c r="F25" i="29" s="1"/>
  <c r="E20" i="19"/>
  <c r="D23" i="29"/>
  <c r="F23" i="29" s="1"/>
  <c r="E18" i="19"/>
  <c r="H44" i="3"/>
  <c r="J44" i="3" s="1"/>
  <c r="C23" i="7" l="1"/>
  <c r="C62" i="29" s="1"/>
  <c r="C25" i="7"/>
  <c r="C63" i="29" s="1"/>
  <c r="E63" i="29" s="1"/>
  <c r="D25" i="7" l="1"/>
  <c r="J29" i="8" l="1"/>
  <c r="J30" i="8" l="1"/>
  <c r="E52" i="3" l="1"/>
  <c r="H52" i="3" s="1"/>
  <c r="E51" i="3"/>
  <c r="H51" i="3" s="1"/>
  <c r="E49" i="3"/>
  <c r="H49" i="3" s="1"/>
  <c r="J49" i="3" s="1"/>
  <c r="E48" i="3"/>
  <c r="E47" i="3"/>
  <c r="E46" i="3"/>
  <c r="H46" i="3" s="1"/>
  <c r="E45" i="3"/>
  <c r="D42" i="3"/>
  <c r="D22" i="29" s="1"/>
  <c r="F22" i="29" s="1"/>
  <c r="F33" i="29" s="1"/>
  <c r="D62" i="29" s="1"/>
  <c r="E62" i="29" s="1"/>
  <c r="E64" i="29" s="1"/>
  <c r="H47" i="3" l="1"/>
  <c r="I47" i="3" s="1"/>
  <c r="E17" i="19"/>
  <c r="J52" i="3"/>
  <c r="I52" i="3"/>
  <c r="J51" i="3"/>
  <c r="I51" i="3"/>
  <c r="J46" i="3"/>
  <c r="I46" i="3"/>
  <c r="H48" i="3"/>
  <c r="J48" i="3" s="1"/>
  <c r="H45" i="3"/>
  <c r="J45" i="3" s="1"/>
  <c r="I49" i="3"/>
  <c r="E26" i="5"/>
  <c r="F26" i="5" s="1"/>
  <c r="J47" i="3" l="1"/>
  <c r="I48" i="3"/>
  <c r="I45" i="3"/>
  <c r="E24" i="5"/>
  <c r="F24" i="5" s="1"/>
  <c r="E23" i="5"/>
  <c r="F23" i="5" s="1"/>
  <c r="D32" i="5" l="1"/>
  <c r="D31" i="5"/>
  <c r="E43" i="3" l="1"/>
  <c r="H43" i="3" s="1"/>
  <c r="E42" i="3"/>
  <c r="J43" i="3" l="1"/>
  <c r="I43" i="3"/>
  <c r="H42" i="3"/>
  <c r="J42" i="3" s="1"/>
  <c r="I44" i="3"/>
  <c r="I42" i="3" l="1"/>
  <c r="I55" i="3" s="1"/>
  <c r="J56" i="3"/>
  <c r="B47" i="3" l="1"/>
  <c r="B46" i="3"/>
  <c r="B45" i="3"/>
  <c r="B44" i="3"/>
  <c r="B43" i="3"/>
  <c r="C47" i="3"/>
  <c r="C46" i="3"/>
  <c r="C45" i="3"/>
  <c r="C44" i="3"/>
  <c r="C43" i="3"/>
  <c r="C42" i="3"/>
  <c r="B42" i="3" l="1"/>
  <c r="A42" i="3"/>
  <c r="E27" i="5"/>
  <c r="F27" i="5" s="1"/>
  <c r="E22" i="5"/>
  <c r="F22" i="5" s="1"/>
  <c r="E21" i="5"/>
  <c r="F21" i="5" s="1"/>
  <c r="E20" i="5"/>
  <c r="F20" i="5" s="1"/>
  <c r="E19" i="5"/>
  <c r="F19" i="5" s="1"/>
  <c r="E18" i="5"/>
  <c r="F18" i="5" s="1"/>
  <c r="E31" i="5" l="1"/>
  <c r="J55" i="3"/>
  <c r="E32" i="5"/>
  <c r="I56" i="3"/>
  <c r="F17" i="5"/>
  <c r="F31" i="5" s="1"/>
  <c r="F23" i="7" l="1"/>
  <c r="G23" i="7" s="1"/>
  <c r="F32" i="5"/>
  <c r="C27" i="7"/>
  <c r="F25" i="7"/>
  <c r="G25" i="7" s="1"/>
  <c r="G27" i="7" l="1"/>
  <c r="H29" i="13"/>
  <c r="I29" i="13"/>
  <c r="I33"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REVT221</author>
    <author>rev4440</author>
    <author>K Reaves</author>
    <author>Baker, Mike A (DOR)</author>
    <author>rev3569</author>
    <author>rev4279</author>
    <author>rev3857</author>
  </authors>
  <commentList>
    <comment ref="H22" authorId="0" shapeId="0" xr:uid="{4CBA3795-BC1B-4A30-94DA-8CF75B3306C1}">
      <text>
        <r>
          <rPr>
            <sz val="9"/>
            <color indexed="81"/>
            <rFont val="Tahoma"/>
            <family val="2"/>
          </rPr>
          <t>Page 3 of PDF, 10-Q</t>
        </r>
      </text>
    </comment>
    <comment ref="J22" authorId="0" shapeId="0" xr:uid="{E0F001A7-5AEE-46F3-B937-6C8357F28E07}">
      <text>
        <r>
          <rPr>
            <sz val="9"/>
            <color indexed="81"/>
            <rFont val="Tahoma"/>
            <family val="2"/>
          </rPr>
          <t>Page 3 of PDF, 10-Q
LTD PLUS CURRENT MATURITIES OF LTD</t>
        </r>
      </text>
    </comment>
    <comment ref="H23" authorId="0" shapeId="0" xr:uid="{0EA5F010-EDD6-4512-AA97-3C9D0056E17D}">
      <text>
        <r>
          <rPr>
            <sz val="9"/>
            <color indexed="81"/>
            <rFont val="Tahoma"/>
            <family val="2"/>
          </rPr>
          <t>Page 63 of PDF, 10-K
AUTHORIZED SHARES MINUS ISSUED</t>
        </r>
      </text>
    </comment>
    <comment ref="J23" authorId="0" shapeId="0" xr:uid="{A8CA97FC-14BA-40D1-9162-CF91D9ED316E}">
      <text>
        <r>
          <rPr>
            <sz val="9"/>
            <color indexed="81"/>
            <rFont val="Tahoma"/>
            <family val="2"/>
          </rPr>
          <t>Page 63 of PDF, 10-K
LTD, NET PLUS CURRENT MATURITIES OF LTD</t>
        </r>
      </text>
    </comment>
    <comment ref="H24" authorId="1" shapeId="0" xr:uid="{59211207-2B4E-44D4-BC4B-7994F4FEFAE4}">
      <text>
        <r>
          <rPr>
            <sz val="9"/>
            <color indexed="81"/>
            <rFont val="Tahoma"/>
            <family val="2"/>
          </rPr>
          <t>Page 84 of PDF, 10-K</t>
        </r>
      </text>
    </comment>
    <comment ref="I24" authorId="1" shapeId="0" xr:uid="{D8590361-EFE7-4DE8-9624-6539B2A73C0F}">
      <text>
        <r>
          <rPr>
            <sz val="9"/>
            <color indexed="81"/>
            <rFont val="Tahoma"/>
            <family val="2"/>
          </rPr>
          <t>Page 84 of PDF, 10-K plus 3million in temporary equity</t>
        </r>
      </text>
    </comment>
    <comment ref="J24" authorId="1" shapeId="0" xr:uid="{67000D7B-E36E-4BF1-BEF8-6D29A80B421E}">
      <text>
        <r>
          <rPr>
            <sz val="9"/>
            <color indexed="81"/>
            <rFont val="Tahoma"/>
            <family val="2"/>
          </rPr>
          <t>Page 84 of PDF, 10-K</t>
        </r>
      </text>
    </comment>
    <comment ref="H25" authorId="1" shapeId="0" xr:uid="{1970BE21-7895-49B0-9BEF-4EFE024C3085}">
      <text>
        <r>
          <rPr>
            <sz val="9"/>
            <color indexed="81"/>
            <rFont val="Tahoma"/>
            <family val="2"/>
          </rPr>
          <t>Page 95 of PDF, 10-K</t>
        </r>
      </text>
    </comment>
    <comment ref="I25" authorId="0" shapeId="0" xr:uid="{1353C8F9-A9CD-4678-B9F0-45825B2AEF6B}">
      <text>
        <r>
          <rPr>
            <sz val="9"/>
            <color indexed="81"/>
            <rFont val="Tahoma"/>
            <family val="2"/>
          </rPr>
          <t>Page 95 of PDF, 10-K</t>
        </r>
      </text>
    </comment>
    <comment ref="J25" authorId="1" shapeId="0" xr:uid="{72905A29-360F-4147-81F7-7BA96C6E9FEC}">
      <text>
        <r>
          <rPr>
            <sz val="9"/>
            <color indexed="81"/>
            <rFont val="Tahoma"/>
            <family val="2"/>
          </rPr>
          <t>Page 95 &amp; 121 of PDF, 10-K</t>
        </r>
      </text>
    </comment>
    <comment ref="H26" authorId="1" shapeId="0" xr:uid="{BDA27ABB-3ED6-4BFE-9B23-8CC3C1CC69D6}">
      <text>
        <r>
          <rPr>
            <sz val="9"/>
            <color indexed="81"/>
            <rFont val="Tahoma"/>
            <family val="2"/>
          </rPr>
          <t>Page 7 of PDF, 10-Q</t>
        </r>
      </text>
    </comment>
    <comment ref="J26" authorId="0" shapeId="0" xr:uid="{41C2685F-155D-4501-B49B-07E71AB34344}">
      <text>
        <r>
          <rPr>
            <sz val="9"/>
            <color indexed="81"/>
            <rFont val="Tahoma"/>
            <family val="2"/>
          </rPr>
          <t>Page  7 of PDF, 10-Q</t>
        </r>
      </text>
    </comment>
    <comment ref="H27" authorId="1" shapeId="0" xr:uid="{013CE875-ADF6-41BB-AB9C-E43B78743B94}">
      <text>
        <r>
          <rPr>
            <sz val="9"/>
            <color indexed="81"/>
            <rFont val="Tahoma"/>
            <family val="2"/>
          </rPr>
          <t>Page 61-62 of PDF, 10-K</t>
        </r>
      </text>
    </comment>
    <comment ref="I27" authorId="1" shapeId="0" xr:uid="{25D235E1-9EF2-4C0D-89DE-60F8FB1648E3}">
      <text>
        <r>
          <rPr>
            <sz val="9"/>
            <color indexed="81"/>
            <rFont val="Tahoma"/>
            <family val="2"/>
          </rPr>
          <t xml:space="preserve">Page 61-62 of PDF, 10-K  </t>
        </r>
      </text>
    </comment>
    <comment ref="J27" authorId="1" shapeId="0" xr:uid="{7B3B88D9-FEC5-4F54-8C9E-468AF8F8E815}">
      <text>
        <r>
          <rPr>
            <sz val="9"/>
            <color indexed="81"/>
            <rFont val="Tahoma"/>
            <family val="2"/>
          </rPr>
          <t>Page 102- 103 of PDF, 10-K</t>
        </r>
      </text>
    </comment>
    <comment ref="H28" authorId="1" shapeId="0" xr:uid="{B3AD3563-8B01-4125-B1C3-CE31F75CEFCF}">
      <text>
        <r>
          <rPr>
            <sz val="9"/>
            <color indexed="81"/>
            <rFont val="Tahoma"/>
            <family val="2"/>
          </rPr>
          <t>Page 80 of PDF, 10-K</t>
        </r>
      </text>
    </comment>
    <comment ref="J28" authorId="2" shapeId="0" xr:uid="{E1553E99-7E0C-4775-8B28-75B8E6DB7B0B}">
      <text>
        <r>
          <rPr>
            <sz val="9"/>
            <color indexed="81"/>
            <rFont val="Tahoma"/>
            <family val="2"/>
          </rPr>
          <t>Page 80 of PDF, 10-K</t>
        </r>
      </text>
    </comment>
    <comment ref="H29" authorId="1" shapeId="0" xr:uid="{1662DEED-49A9-4FE7-AA73-B3D59ED5B0B5}">
      <text>
        <r>
          <rPr>
            <sz val="9"/>
            <color indexed="81"/>
            <rFont val="Tahoma"/>
            <family val="2"/>
          </rPr>
          <t>Page 45 of PDF, 10-K</t>
        </r>
      </text>
    </comment>
    <comment ref="J29" authorId="1" shapeId="0" xr:uid="{CA68409A-45DF-4F77-9CE0-CE019BCB4771}">
      <text>
        <r>
          <rPr>
            <sz val="9"/>
            <color indexed="81"/>
            <rFont val="Tahoma"/>
            <family val="2"/>
          </rPr>
          <t>Page 45 of PDF,  10-K</t>
        </r>
      </text>
    </comment>
    <comment ref="H30" authorId="1" shapeId="0" xr:uid="{C8DA9AC8-9467-4BF1-A500-9BBE1FAE8776}">
      <text>
        <r>
          <rPr>
            <sz val="9"/>
            <color indexed="81"/>
            <rFont val="Tahoma"/>
            <family val="2"/>
          </rPr>
          <t xml:space="preserve">Page 63 of annual report
</t>
        </r>
      </text>
    </comment>
    <comment ref="J30" authorId="1" shapeId="0" xr:uid="{874ACB2F-A102-48FD-BECB-B67FF9B1C63C}">
      <text>
        <r>
          <rPr>
            <sz val="12"/>
            <color indexed="81"/>
            <rFont val="Tahoma"/>
            <family val="2"/>
          </rPr>
          <t xml:space="preserve">See 10K Page 27 - 302 </t>
        </r>
      </text>
    </comment>
    <comment ref="H31" authorId="1" shapeId="0" xr:uid="{2A7B6565-0E54-45F6-9D13-B6324556982D}">
      <text>
        <r>
          <rPr>
            <sz val="9"/>
            <color indexed="81"/>
            <rFont val="Tahoma"/>
            <family val="2"/>
          </rPr>
          <t>Page 8 of PDF, 10-Q</t>
        </r>
      </text>
    </comment>
    <comment ref="I31" authorId="1" shapeId="0" xr:uid="{11052306-E3DF-4892-ABDC-E2D1B6E7AD06}">
      <text>
        <r>
          <rPr>
            <sz val="9"/>
            <color indexed="81"/>
            <rFont val="Tahoma"/>
            <family val="2"/>
          </rPr>
          <t>Page 8 of 10-Q  Added Tempoary Equity of 16.2 Million</t>
        </r>
      </text>
    </comment>
    <comment ref="J31" authorId="1" shapeId="0" xr:uid="{DCC5C481-7273-4207-BE58-AB9B3FACBC87}">
      <text>
        <r>
          <rPr>
            <sz val="9"/>
            <color indexed="81"/>
            <rFont val="Tahoma"/>
            <family val="2"/>
          </rPr>
          <t>Page 7 of PDF, 10-Q</t>
        </r>
      </text>
    </comment>
    <comment ref="H32" authorId="1" shapeId="0" xr:uid="{5D5B37C1-CD8C-4D08-AA99-22F92CE3AF50}">
      <text>
        <r>
          <rPr>
            <sz val="9"/>
            <color indexed="81"/>
            <rFont val="Tahoma"/>
            <family val="2"/>
          </rPr>
          <t>Page 93 of PDF, 10-K</t>
        </r>
      </text>
    </comment>
    <comment ref="I32" authorId="1" shapeId="0" xr:uid="{0A6A9706-C0E3-40AD-8E27-706ED66B140D}">
      <text>
        <r>
          <rPr>
            <sz val="9"/>
            <color indexed="81"/>
            <rFont val="Tahoma"/>
            <family val="2"/>
          </rPr>
          <t xml:space="preserve">Page 97 of PDF, 10-K  The pref stock value shown 30.4 is similar to Noncontrolling interests
</t>
        </r>
      </text>
    </comment>
    <comment ref="J32" authorId="3" shapeId="0" xr:uid="{E1AC31E6-8557-4B4C-8C39-ACCE4D160004}">
      <text>
        <r>
          <rPr>
            <b/>
            <sz val="9"/>
            <color indexed="81"/>
            <rFont val="Tahoma"/>
            <family val="2"/>
          </rPr>
          <t>Baker, Mike A (DOR):</t>
        </r>
        <r>
          <rPr>
            <sz val="9"/>
            <color indexed="81"/>
            <rFont val="Tahoma"/>
            <family val="2"/>
          </rPr>
          <t xml:space="preserve">
See 10K page 86-97
</t>
        </r>
      </text>
    </comment>
    <comment ref="F38" authorId="4" shapeId="0" xr:uid="{CEF678F7-6580-4CF3-AC8E-A803AFF27478}">
      <text>
        <r>
          <rPr>
            <b/>
            <sz val="11"/>
            <color indexed="81"/>
            <rFont val="Tahoma"/>
            <family val="2"/>
          </rPr>
          <t>rev3569:</t>
        </r>
        <r>
          <rPr>
            <sz val="11"/>
            <color indexed="81"/>
            <rFont val="Tahoma"/>
            <family val="2"/>
          </rPr>
          <t xml:space="preserve">
identify present value in 10K</t>
        </r>
      </text>
    </comment>
    <comment ref="F42" authorId="3" shapeId="0" xr:uid="{3D3F4948-3384-4C88-883E-791B53177A08}">
      <text>
        <r>
          <rPr>
            <b/>
            <sz val="9"/>
            <color indexed="81"/>
            <rFont val="Tahoma"/>
            <family val="2"/>
          </rPr>
          <t>Baker, Mike A (DOR):</t>
        </r>
        <r>
          <rPr>
            <sz val="9"/>
            <color indexed="81"/>
            <rFont val="Tahoma"/>
            <family val="2"/>
          </rPr>
          <t xml:space="preserve">
See page 16</t>
        </r>
      </text>
    </comment>
    <comment ref="G42" authorId="5" shapeId="0" xr:uid="{2D1891CD-62B5-4C19-934A-4F9B34D9C9CE}">
      <text>
        <r>
          <rPr>
            <b/>
            <sz val="9"/>
            <color indexed="81"/>
            <rFont val="Tahoma"/>
            <family val="2"/>
          </rPr>
          <t>rev4279:</t>
        </r>
        <r>
          <rPr>
            <sz val="9"/>
            <color indexed="81"/>
            <rFont val="Tahoma"/>
            <family val="2"/>
          </rPr>
          <t xml:space="preserve">
4TH QUARTER 10Q PG 20 FAIR VALUE MEASURMENTS</t>
        </r>
      </text>
    </comment>
    <comment ref="G43" authorId="0" shapeId="0" xr:uid="{B0F8E0F8-ED24-4CEB-93B5-70BBE2FFC08E}">
      <text>
        <r>
          <rPr>
            <sz val="9"/>
            <color indexed="81"/>
            <rFont val="Tahoma"/>
            <family val="2"/>
          </rPr>
          <t>Page 92 of PDF, 10-K NOTE 10 FAIR VALUE MEASURMENTS</t>
        </r>
      </text>
    </comment>
    <comment ref="F44" authorId="3" shapeId="0" xr:uid="{5B8AAB40-7326-43B0-95AB-8093FB973508}">
      <text>
        <r>
          <rPr>
            <b/>
            <sz val="9"/>
            <color indexed="81"/>
            <rFont val="Tahoma"/>
            <family val="2"/>
          </rPr>
          <t>Baker, Mike A (DOR):</t>
        </r>
        <r>
          <rPr>
            <sz val="9"/>
            <color indexed="81"/>
            <rFont val="Tahoma"/>
            <family val="2"/>
          </rPr>
          <t xml:space="preserve">
See 10K  page 175 / 186</t>
        </r>
      </text>
    </comment>
    <comment ref="G44" authorId="0" shapeId="0" xr:uid="{F36DB0B0-3513-46CA-9D33-1A63ABF8DB94}">
      <text>
        <r>
          <rPr>
            <sz val="9"/>
            <color indexed="81"/>
            <rFont val="Tahoma"/>
            <family val="2"/>
          </rPr>
          <t>Page 143 of PDF, 10-K
NOTE 10 FAIR VALUE MEASURMENTS</t>
        </r>
      </text>
    </comment>
    <comment ref="F45" authorId="3" shapeId="0" xr:uid="{650E24E1-EDDC-4493-9D2D-AFC51EF64350}">
      <text>
        <r>
          <rPr>
            <b/>
            <sz val="9"/>
            <color indexed="81"/>
            <rFont val="Tahoma"/>
            <family val="2"/>
          </rPr>
          <t>Baker, Mike A (DOR):</t>
        </r>
        <r>
          <rPr>
            <sz val="9"/>
            <color indexed="81"/>
            <rFont val="Tahoma"/>
            <family val="2"/>
          </rPr>
          <t xml:space="preserve">
 See 10K page 138 / 142</t>
        </r>
      </text>
    </comment>
    <comment ref="G45" authorId="0" shapeId="0" xr:uid="{E081129B-9F2F-4997-B95C-75CEC0F39689}">
      <text>
        <r>
          <rPr>
            <sz val="9"/>
            <color indexed="81"/>
            <rFont val="Tahoma"/>
            <family val="2"/>
          </rPr>
          <t>Page 130 of 10K
NOTE 6 FINANCIAL INSTRUMENTS</t>
        </r>
      </text>
    </comment>
    <comment ref="F46" authorId="3" shapeId="0" xr:uid="{6DB1DCA6-B39D-4F5C-A1F8-4388FE7A5744}">
      <text>
        <r>
          <rPr>
            <b/>
            <sz val="9"/>
            <color indexed="81"/>
            <rFont val="Tahoma"/>
            <family val="2"/>
          </rPr>
          <t>Baker, Mike A (DOR):</t>
        </r>
        <r>
          <rPr>
            <sz val="9"/>
            <color indexed="81"/>
            <rFont val="Tahoma"/>
            <family val="2"/>
          </rPr>
          <t xml:space="preserve">
See 10K page 28-34</t>
        </r>
      </text>
    </comment>
    <comment ref="G46" authorId="6" shapeId="0" xr:uid="{450BF0F0-9589-4AB6-B278-39690DDAED76}">
      <text>
        <r>
          <rPr>
            <sz val="9"/>
            <color indexed="81"/>
            <rFont val="Tahoma"/>
            <family val="2"/>
          </rPr>
          <t xml:space="preserve">Page 20 of PDF, 10Q
NOTE 6 FAIR VALUE
</t>
        </r>
      </text>
    </comment>
    <comment ref="F47" authorId="3" shapeId="0" xr:uid="{604E6012-8251-4652-852D-892C8D06D39B}">
      <text>
        <r>
          <rPr>
            <b/>
            <sz val="9"/>
            <color indexed="81"/>
            <rFont val="Tahoma"/>
            <family val="2"/>
          </rPr>
          <t>Baker, Mike A (DOR):</t>
        </r>
        <r>
          <rPr>
            <sz val="9"/>
            <color indexed="81"/>
            <rFont val="Tahoma"/>
            <family val="2"/>
          </rPr>
          <t xml:space="preserve">
See 10K page 106-107</t>
        </r>
      </text>
    </comment>
    <comment ref="G47" authorId="3" shapeId="0" xr:uid="{AE73D319-6048-42F1-884E-5C259A9D92E5}">
      <text>
        <r>
          <rPr>
            <b/>
            <sz val="9"/>
            <color indexed="81"/>
            <rFont val="Tahoma"/>
            <family val="2"/>
          </rPr>
          <t>Baker, Mike A (DOR):</t>
        </r>
        <r>
          <rPr>
            <sz val="9"/>
            <color indexed="81"/>
            <rFont val="Tahoma"/>
            <family val="2"/>
          </rPr>
          <t xml:space="preserve">
See 10K page 109</t>
        </r>
      </text>
    </comment>
    <comment ref="F48" authorId="3" shapeId="0" xr:uid="{EE6D86EB-C425-4ACC-8B52-BBA9DB004643}">
      <text>
        <r>
          <rPr>
            <b/>
            <sz val="9"/>
            <color indexed="81"/>
            <rFont val="Tahoma"/>
            <family val="2"/>
          </rPr>
          <t>Baker, Mike A (DOR):</t>
        </r>
        <r>
          <rPr>
            <sz val="9"/>
            <color indexed="81"/>
            <rFont val="Tahoma"/>
            <family val="2"/>
          </rPr>
          <t xml:space="preserve">
See page 105</t>
        </r>
      </text>
    </comment>
    <comment ref="G48" authorId="6" shapeId="0" xr:uid="{00000000-0006-0000-0200-000030000000}">
      <text>
        <r>
          <rPr>
            <sz val="9"/>
            <color indexed="81"/>
            <rFont val="Tahoma"/>
            <family val="2"/>
          </rPr>
          <t>Page 111 of PDF, 10-K</t>
        </r>
      </text>
    </comment>
    <comment ref="F49" authorId="3" shapeId="0" xr:uid="{20281039-EF35-4C62-8164-6BA175B6C418}">
      <text>
        <r>
          <rPr>
            <b/>
            <sz val="9"/>
            <color indexed="81"/>
            <rFont val="Tahoma"/>
            <family val="2"/>
          </rPr>
          <t>Baker, Mike A (DOR):</t>
        </r>
        <r>
          <rPr>
            <sz val="9"/>
            <color indexed="81"/>
            <rFont val="Tahoma"/>
            <family val="2"/>
          </rPr>
          <t xml:space="preserve">
See page 56</t>
        </r>
      </text>
    </comment>
    <comment ref="G49" authorId="6" shapeId="0" xr:uid="{FFC7F4A7-FB3E-4AEA-B8BF-E8A827A168BA}">
      <text>
        <r>
          <rPr>
            <sz val="9"/>
            <color indexed="81"/>
            <rFont val="Tahoma"/>
            <family val="2"/>
          </rPr>
          <t>Page 59 of PDF, 10-K</t>
        </r>
      </text>
    </comment>
    <comment ref="F50" authorId="3" shapeId="0" xr:uid="{EFD497B5-BEBC-4D1F-9F9D-34AB7F0DF4F5}">
      <text>
        <r>
          <rPr>
            <b/>
            <sz val="9"/>
            <color indexed="81"/>
            <rFont val="Tahoma"/>
            <family val="2"/>
          </rPr>
          <t>Baker, Mike A (DOR):</t>
        </r>
        <r>
          <rPr>
            <sz val="9"/>
            <color indexed="81"/>
            <rFont val="Tahoma"/>
            <family val="2"/>
          </rPr>
          <t xml:space="preserve">
See page 73 annual report</t>
        </r>
      </text>
    </comment>
    <comment ref="G50" authorId="6" shapeId="0" xr:uid="{AAF0DF28-195B-4EDB-8FAE-8AF53FAA299A}">
      <text>
        <r>
          <rPr>
            <sz val="9"/>
            <color indexed="81"/>
            <rFont val="Tahoma"/>
            <family val="2"/>
          </rPr>
          <t>Page 8 2 of annual report</t>
        </r>
      </text>
    </comment>
    <comment ref="G51" authorId="6" shapeId="0" xr:uid="{00000000-0006-0000-0200-000032000000}">
      <text>
        <r>
          <rPr>
            <sz val="9"/>
            <color indexed="81"/>
            <rFont val="Tahoma"/>
            <family val="2"/>
          </rPr>
          <t>Page 34 / 37 of PDF, 10-K</t>
        </r>
      </text>
    </comment>
    <comment ref="F52" authorId="3" shapeId="0" xr:uid="{2BF98C43-4823-4D18-B59A-A46B76E60AF2}">
      <text>
        <r>
          <rPr>
            <b/>
            <sz val="9"/>
            <color indexed="81"/>
            <rFont val="Tahoma"/>
            <family val="2"/>
          </rPr>
          <t>Baker, Mike A (DOR): See 10K page124-136</t>
        </r>
        <r>
          <rPr>
            <sz val="9"/>
            <color indexed="81"/>
            <rFont val="Tahoma"/>
            <family val="2"/>
          </rPr>
          <t xml:space="preserve">
</t>
        </r>
      </text>
    </comment>
    <comment ref="G52" authorId="3" shapeId="0" xr:uid="{E6FA7760-3639-4A4C-ACCE-CC57714F29E0}">
      <text>
        <r>
          <rPr>
            <b/>
            <sz val="9"/>
            <color indexed="81"/>
            <rFont val="Tahoma"/>
            <family val="2"/>
          </rPr>
          <t>Baker, Mike A (DOR):</t>
        </r>
        <r>
          <rPr>
            <sz val="9"/>
            <color indexed="81"/>
            <rFont val="Tahoma"/>
            <family val="2"/>
          </rPr>
          <t xml:space="preserve">
See 10K page 128-140
Add back Finance leases $183.2 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Baker, Mike A (DOR)</author>
  </authors>
  <commentList>
    <comment ref="E22" authorId="0" shapeId="0" xr:uid="{7A46F26C-41D2-490C-900E-20581B605D4A}">
      <text>
        <r>
          <rPr>
            <b/>
            <sz val="9"/>
            <color indexed="81"/>
            <rFont val="Tahoma"/>
            <family val="2"/>
          </rPr>
          <t>Baker, Mike A (DOR):</t>
        </r>
        <r>
          <rPr>
            <sz val="9"/>
            <color indexed="81"/>
            <rFont val="Tahoma"/>
            <family val="2"/>
          </rPr>
          <t xml:space="preserve">
See 10Q page 3</t>
        </r>
      </text>
    </comment>
    <comment ref="E23" authorId="0" shapeId="0" xr:uid="{CFE0CD12-5DB5-4AC0-87E6-60C57D2B8AB5}">
      <text>
        <r>
          <rPr>
            <b/>
            <sz val="9"/>
            <color indexed="81"/>
            <rFont val="Tahoma"/>
            <family val="2"/>
          </rPr>
          <t>Baker, Mike A (DOR):See 10K page 63</t>
        </r>
        <r>
          <rPr>
            <sz val="9"/>
            <color indexed="81"/>
            <rFont val="Tahoma"/>
            <family val="2"/>
          </rPr>
          <t xml:space="preserve">
</t>
        </r>
      </text>
    </comment>
    <comment ref="E24" authorId="0" shapeId="0" xr:uid="{B9AD744F-1000-438F-A0E7-716F1479E3FA}">
      <text>
        <r>
          <rPr>
            <b/>
            <sz val="9"/>
            <color indexed="81"/>
            <rFont val="Tahoma"/>
            <family val="2"/>
          </rPr>
          <t>Baker, Mike A (DOR):</t>
        </r>
        <r>
          <rPr>
            <sz val="9"/>
            <color indexed="81"/>
            <rFont val="Tahoma"/>
            <family val="2"/>
          </rPr>
          <t xml:space="preserve">
See 10K page 84-95</t>
        </r>
      </text>
    </comment>
    <comment ref="E25" authorId="0" shapeId="0" xr:uid="{D8551BD9-D8CD-4F92-9E5F-2B2B9BC3F136}">
      <text>
        <r>
          <rPr>
            <b/>
            <sz val="9"/>
            <color indexed="81"/>
            <rFont val="Tahoma"/>
            <family val="2"/>
          </rPr>
          <t>Baker, Mike A (DOR):</t>
        </r>
        <r>
          <rPr>
            <sz val="9"/>
            <color indexed="81"/>
            <rFont val="Tahoma"/>
            <family val="2"/>
          </rPr>
          <t xml:space="preserve">
See 10K page 95</t>
        </r>
      </text>
    </comment>
    <comment ref="E26" authorId="0" shapeId="0" xr:uid="{8720E851-EBF2-4F7A-961E-496EAF9FF60A}">
      <text>
        <r>
          <rPr>
            <b/>
            <sz val="9"/>
            <color indexed="81"/>
            <rFont val="Tahoma"/>
            <family val="2"/>
          </rPr>
          <t>Baker, Mike A (DOR):See 10K page 7-10</t>
        </r>
        <r>
          <rPr>
            <sz val="9"/>
            <color indexed="81"/>
            <rFont val="Tahoma"/>
            <family val="2"/>
          </rPr>
          <t xml:space="preserve">
</t>
        </r>
      </text>
    </comment>
    <comment ref="E27" authorId="0" shapeId="0" xr:uid="{8689DABC-DC49-41AA-8B85-66DF48E828BB}">
      <text>
        <r>
          <rPr>
            <b/>
            <sz val="9"/>
            <color indexed="81"/>
            <rFont val="Tahoma"/>
            <family val="2"/>
          </rPr>
          <t>Baker, Mike A (DOR):</t>
        </r>
        <r>
          <rPr>
            <sz val="9"/>
            <color indexed="81"/>
            <rFont val="Tahoma"/>
            <family val="2"/>
          </rPr>
          <t xml:space="preserve">
See 10K page 61-62</t>
        </r>
      </text>
    </comment>
    <comment ref="E28" authorId="0" shapeId="0" xr:uid="{2BBA1033-2FBA-459E-BCBB-60678EE0B25B}">
      <text>
        <r>
          <rPr>
            <b/>
            <sz val="9"/>
            <color indexed="81"/>
            <rFont val="Tahoma"/>
            <family val="2"/>
          </rPr>
          <t>Baker, Mike A (DOR): See 10K page 80</t>
        </r>
        <r>
          <rPr>
            <sz val="9"/>
            <color indexed="81"/>
            <rFont val="Tahoma"/>
            <family val="2"/>
          </rPr>
          <t xml:space="preserve">
</t>
        </r>
      </text>
    </comment>
    <comment ref="E29" authorId="0" shapeId="0" xr:uid="{CAEBCAAB-4FCB-485B-AB0A-366F05AE6B36}">
      <text>
        <r>
          <rPr>
            <b/>
            <sz val="9"/>
            <color indexed="81"/>
            <rFont val="Tahoma"/>
            <family val="2"/>
          </rPr>
          <t>Baker, Mike A (DOR):</t>
        </r>
        <r>
          <rPr>
            <sz val="9"/>
            <color indexed="81"/>
            <rFont val="Tahoma"/>
            <family val="2"/>
          </rPr>
          <t xml:space="preserve">
See page 45</t>
        </r>
      </text>
    </comment>
    <comment ref="E30" authorId="0" shapeId="0" xr:uid="{F2BCAC92-0E6E-45CC-9539-AF5ECE3B833C}">
      <text>
        <r>
          <rPr>
            <b/>
            <sz val="9"/>
            <color indexed="81"/>
            <rFont val="Tahoma"/>
            <family val="2"/>
          </rPr>
          <t>Baker, Mike A (DOR): See 10K Page 22 - 297</t>
        </r>
        <r>
          <rPr>
            <sz val="9"/>
            <color indexed="81"/>
            <rFont val="Tahoma"/>
            <family val="2"/>
          </rPr>
          <t xml:space="preserve">
</t>
        </r>
      </text>
    </comment>
    <comment ref="E31" authorId="0" shapeId="0" xr:uid="{AA798E61-8E50-4707-9974-E37CC4F206E1}">
      <text>
        <r>
          <rPr>
            <b/>
            <sz val="9"/>
            <color indexed="81"/>
            <rFont val="Tahoma"/>
            <family val="2"/>
          </rPr>
          <t>Baker, Mike A (DOR):</t>
        </r>
        <r>
          <rPr>
            <sz val="9"/>
            <color indexed="81"/>
            <rFont val="Tahoma"/>
            <family val="2"/>
          </rPr>
          <t xml:space="preserve">
See 10K page 7</t>
        </r>
      </text>
    </comment>
    <comment ref="E32" authorId="0" shapeId="0" xr:uid="{004A9949-CE96-4322-B347-AC74B019D7D2}">
      <text>
        <r>
          <rPr>
            <b/>
            <sz val="9"/>
            <color indexed="81"/>
            <rFont val="Tahoma"/>
            <family val="2"/>
          </rPr>
          <t>Baker, Mike A (DOR):</t>
        </r>
        <r>
          <rPr>
            <sz val="9"/>
            <color indexed="81"/>
            <rFont val="Tahoma"/>
            <family val="2"/>
          </rPr>
          <t xml:space="preserve">
See 10K page 86-97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Baker, Mike A (DOR)</author>
  </authors>
  <commentList>
    <comment ref="D20" authorId="0" shapeId="0" xr:uid="{5BE4D02A-E3DB-48D3-9058-12F19EE06AAE}">
      <text>
        <r>
          <rPr>
            <b/>
            <sz val="9"/>
            <color indexed="81"/>
            <rFont val="Tahoma"/>
            <family val="2"/>
          </rPr>
          <t>Baker, Mike A (DOR):</t>
        </r>
        <r>
          <rPr>
            <sz val="9"/>
            <color indexed="81"/>
            <rFont val="Tahoma"/>
            <family val="2"/>
          </rPr>
          <t xml:space="preserve">
See 10Q page 3</t>
        </r>
      </text>
    </comment>
    <comment ref="E20" authorId="0" shapeId="0" xr:uid="{39FAFDD8-B1BC-463E-BC52-F944557B170D}">
      <text>
        <r>
          <rPr>
            <b/>
            <sz val="9"/>
            <color indexed="81"/>
            <rFont val="Tahoma"/>
            <family val="2"/>
          </rPr>
          <t>Baker, Mike A (DOR):</t>
        </r>
        <r>
          <rPr>
            <sz val="9"/>
            <color indexed="81"/>
            <rFont val="Tahoma"/>
            <family val="2"/>
          </rPr>
          <t xml:space="preserve">
See SEC 10Q page 3</t>
        </r>
      </text>
    </comment>
    <comment ref="G20" authorId="0" shapeId="0" xr:uid="{31A98708-AEBE-4FAD-9325-30417F1AAF64}">
      <text>
        <r>
          <rPr>
            <b/>
            <sz val="9"/>
            <color indexed="81"/>
            <rFont val="Tahoma"/>
            <family val="2"/>
          </rPr>
          <t>Baker, Mike A (DOR):</t>
        </r>
        <r>
          <rPr>
            <sz val="9"/>
            <color indexed="81"/>
            <rFont val="Tahoma"/>
            <family val="2"/>
          </rPr>
          <t xml:space="preserve">
Add four quarters of data from 10Q</t>
        </r>
      </text>
    </comment>
    <comment ref="D21" authorId="0" shapeId="0" xr:uid="{E1DAD8C9-3C35-4BC0-AD34-AD2F1F7266FC}">
      <text>
        <r>
          <rPr>
            <b/>
            <sz val="9"/>
            <color indexed="81"/>
            <rFont val="Tahoma"/>
            <family val="2"/>
          </rPr>
          <t>Baker, Mike A (DOR):</t>
        </r>
        <r>
          <rPr>
            <sz val="9"/>
            <color indexed="81"/>
            <rFont val="Tahoma"/>
            <family val="2"/>
          </rPr>
          <t xml:space="preserve">
See 1oK page 62</t>
        </r>
      </text>
    </comment>
    <comment ref="G21" authorId="0" shapeId="0" xr:uid="{390B3F29-75D2-4D69-A7C1-37EDD4697007}">
      <text>
        <r>
          <rPr>
            <b/>
            <sz val="9"/>
            <color indexed="81"/>
            <rFont val="Tahoma"/>
            <family val="2"/>
          </rPr>
          <t>Baker, Mike A (DOR):</t>
        </r>
        <r>
          <rPr>
            <sz val="9"/>
            <color indexed="81"/>
            <rFont val="Tahoma"/>
            <family val="2"/>
          </rPr>
          <t xml:space="preserve">
See 10K page 64</t>
        </r>
      </text>
    </comment>
    <comment ref="E22" authorId="0" shapeId="0" xr:uid="{AAE97FDF-61F3-4BB1-913F-E8BBF7DA0BAE}">
      <text>
        <r>
          <rPr>
            <b/>
            <sz val="9"/>
            <color indexed="81"/>
            <rFont val="Tahoma"/>
            <family val="2"/>
          </rPr>
          <t>Baker, Mike A (DOR):</t>
        </r>
        <r>
          <rPr>
            <sz val="9"/>
            <color indexed="81"/>
            <rFont val="Tahoma"/>
            <family val="2"/>
          </rPr>
          <t xml:space="preserve">
See 10K page 108-119</t>
        </r>
      </text>
    </comment>
    <comment ref="D23" authorId="0" shapeId="0" xr:uid="{7D1582CF-FB3B-4C1D-901A-C37F04F5DAB3}">
      <text>
        <r>
          <rPr>
            <b/>
            <sz val="9"/>
            <color indexed="81"/>
            <rFont val="Tahoma"/>
            <family val="2"/>
          </rPr>
          <t>Baker, Mike A (DOR):</t>
        </r>
        <r>
          <rPr>
            <sz val="9"/>
            <color indexed="81"/>
            <rFont val="Tahoma"/>
            <family val="2"/>
          </rPr>
          <t xml:space="preserve">
See 10K page 131</t>
        </r>
      </text>
    </comment>
    <comment ref="E23" authorId="0" shapeId="0" xr:uid="{4C115552-3408-45E6-B087-3CA2D3FF580A}">
      <text>
        <r>
          <rPr>
            <b/>
            <sz val="9"/>
            <color indexed="81"/>
            <rFont val="Tahoma"/>
            <family val="2"/>
          </rPr>
          <t>Baker, Mike A (DOR):</t>
        </r>
        <r>
          <rPr>
            <sz val="9"/>
            <color indexed="81"/>
            <rFont val="Tahoma"/>
            <family val="2"/>
          </rPr>
          <t xml:space="preserve">
See 10K page 94-</t>
        </r>
      </text>
    </comment>
    <comment ref="G23" authorId="0" shapeId="0" xr:uid="{6A1F844B-AC11-467E-9B1B-224381339C8A}">
      <text>
        <r>
          <rPr>
            <b/>
            <sz val="9"/>
            <color indexed="81"/>
            <rFont val="Tahoma"/>
            <family val="2"/>
          </rPr>
          <t>Baker, Mike A (DOR):</t>
        </r>
        <r>
          <rPr>
            <sz val="9"/>
            <color indexed="81"/>
            <rFont val="Tahoma"/>
            <family val="2"/>
          </rPr>
          <t xml:space="preserve">
See 10K page 88-91</t>
        </r>
      </text>
    </comment>
    <comment ref="D24" authorId="0" shapeId="0" xr:uid="{87E7FD60-00C1-4E8F-9114-557ACCEE9746}">
      <text>
        <r>
          <rPr>
            <b/>
            <sz val="9"/>
            <color indexed="81"/>
            <rFont val="Tahoma"/>
            <family val="2"/>
          </rPr>
          <t>Baker, Mike A (DOR):</t>
        </r>
        <r>
          <rPr>
            <sz val="9"/>
            <color indexed="81"/>
            <rFont val="Tahoma"/>
            <family val="2"/>
          </rPr>
          <t xml:space="preserve">
See 10Q page 6-9</t>
        </r>
      </text>
    </comment>
    <comment ref="E24" authorId="0" shapeId="0" xr:uid="{40115298-409C-49F1-84D9-C5A60D8074CF}">
      <text>
        <r>
          <rPr>
            <b/>
            <sz val="9"/>
            <color indexed="81"/>
            <rFont val="Tahoma"/>
            <family val="2"/>
          </rPr>
          <t>Baker, Mike A (DOR):</t>
        </r>
        <r>
          <rPr>
            <sz val="9"/>
            <color indexed="81"/>
            <rFont val="Tahoma"/>
            <family val="2"/>
          </rPr>
          <t xml:space="preserve">
2021 10Q page 6</t>
        </r>
      </text>
    </comment>
    <comment ref="G24" authorId="0" shapeId="0" xr:uid="{F3A927E4-C6C5-4855-9815-F5A78127B098}">
      <text>
        <r>
          <rPr>
            <b/>
            <sz val="9"/>
            <color indexed="81"/>
            <rFont val="Tahoma"/>
            <family val="2"/>
          </rPr>
          <t>Baker, Mike A (DOR):</t>
        </r>
        <r>
          <rPr>
            <sz val="9"/>
            <color indexed="81"/>
            <rFont val="Tahoma"/>
            <family val="2"/>
          </rPr>
          <t xml:space="preserve">
Added 10Q data for four quarters</t>
        </r>
      </text>
    </comment>
    <comment ref="D25" authorId="0" shapeId="0" xr:uid="{82E9ED39-134A-4494-973D-78B595269EED}">
      <text>
        <r>
          <rPr>
            <b/>
            <sz val="9"/>
            <color indexed="81"/>
            <rFont val="Tahoma"/>
            <family val="2"/>
          </rPr>
          <t>Baker, Mike A (DOR):</t>
        </r>
        <r>
          <rPr>
            <sz val="9"/>
            <color indexed="81"/>
            <rFont val="Tahoma"/>
            <family val="2"/>
          </rPr>
          <t xml:space="preserve">
See 10K page 60-61</t>
        </r>
      </text>
    </comment>
    <comment ref="E25" authorId="0" shapeId="0" xr:uid="{E76AD690-B189-4B84-9036-45D608A5AC2D}">
      <text>
        <r>
          <rPr>
            <b/>
            <sz val="9"/>
            <color indexed="81"/>
            <rFont val="Tahoma"/>
            <family val="2"/>
          </rPr>
          <t>Baker, Mike A (DOR):</t>
        </r>
        <r>
          <rPr>
            <sz val="9"/>
            <color indexed="81"/>
            <rFont val="Tahoma"/>
            <family val="2"/>
          </rPr>
          <t xml:space="preserve">
See 10K page 60-61</t>
        </r>
      </text>
    </comment>
    <comment ref="G25" authorId="0" shapeId="0" xr:uid="{83C38C7D-3BF5-41F1-8B47-0A84B3E25537}">
      <text>
        <r>
          <rPr>
            <b/>
            <sz val="9"/>
            <color indexed="81"/>
            <rFont val="Tahoma"/>
            <family val="2"/>
          </rPr>
          <t>Baker, Mike A (DOR):</t>
        </r>
        <r>
          <rPr>
            <sz val="9"/>
            <color indexed="81"/>
            <rFont val="Tahoma"/>
            <family val="2"/>
          </rPr>
          <t xml:space="preserve">
See 10K page58</t>
        </r>
      </text>
    </comment>
    <comment ref="D26" authorId="0" shapeId="0" xr:uid="{455B4B1F-6693-4D30-8594-6EDD8ABD7730}">
      <text>
        <r>
          <rPr>
            <b/>
            <sz val="9"/>
            <color indexed="81"/>
            <rFont val="Tahoma"/>
            <family val="2"/>
          </rPr>
          <t>Baker, Mike A (DOR):</t>
        </r>
        <r>
          <rPr>
            <sz val="9"/>
            <color indexed="81"/>
            <rFont val="Tahoma"/>
            <family val="2"/>
          </rPr>
          <t xml:space="preserve">
See 10K page 79</t>
        </r>
      </text>
    </comment>
    <comment ref="E26" authorId="0" shapeId="0" xr:uid="{A1022353-E703-49C2-BADD-3BB9602DE238}">
      <text>
        <r>
          <rPr>
            <b/>
            <sz val="9"/>
            <color indexed="81"/>
            <rFont val="Tahoma"/>
            <family val="2"/>
          </rPr>
          <t>Baker, Mike A (DOR):</t>
        </r>
        <r>
          <rPr>
            <sz val="9"/>
            <color indexed="81"/>
            <rFont val="Tahoma"/>
            <family val="2"/>
          </rPr>
          <t xml:space="preserve">
See 10K page 79</t>
        </r>
      </text>
    </comment>
    <comment ref="G26" authorId="0" shapeId="0" xr:uid="{4FC92985-2D10-4641-88B7-D0D2117D8C27}">
      <text>
        <r>
          <rPr>
            <b/>
            <sz val="9"/>
            <color indexed="81"/>
            <rFont val="Tahoma"/>
            <family val="2"/>
          </rPr>
          <t>Baker, Mike A (DOR):</t>
        </r>
        <r>
          <rPr>
            <sz val="9"/>
            <color indexed="81"/>
            <rFont val="Tahoma"/>
            <family val="2"/>
          </rPr>
          <t xml:space="preserve">
See 10K page 72</t>
        </r>
      </text>
    </comment>
    <comment ref="D27" authorId="0" shapeId="0" xr:uid="{5C7E79B9-8AEE-43FA-830D-EFFB70BCCE0A}">
      <text>
        <r>
          <rPr>
            <b/>
            <sz val="9"/>
            <color indexed="81"/>
            <rFont val="Tahoma"/>
            <family val="2"/>
          </rPr>
          <t>Baker, Mike A (DOR):</t>
        </r>
        <r>
          <rPr>
            <sz val="9"/>
            <color indexed="81"/>
            <rFont val="Tahoma"/>
            <family val="2"/>
          </rPr>
          <t xml:space="preserve">
See page 64</t>
        </r>
      </text>
    </comment>
    <comment ref="G27" authorId="0" shapeId="0" xr:uid="{B24CF225-68D1-4561-8AC6-C2A10AC420B7}">
      <text>
        <r>
          <rPr>
            <b/>
            <sz val="9"/>
            <color indexed="81"/>
            <rFont val="Tahoma"/>
            <family val="2"/>
          </rPr>
          <t>Baker, Mike A (DOR):</t>
        </r>
        <r>
          <rPr>
            <sz val="9"/>
            <color indexed="81"/>
            <rFont val="Tahoma"/>
            <family val="2"/>
          </rPr>
          <t xml:space="preserve">
See 10K page 46</t>
        </r>
      </text>
    </comment>
    <comment ref="D28" authorId="0" shapeId="0" xr:uid="{A9315575-0C80-47F0-94FB-2144B6A24B94}">
      <text>
        <r>
          <rPr>
            <b/>
            <sz val="9"/>
            <color indexed="81"/>
            <rFont val="Tahoma"/>
            <family val="2"/>
          </rPr>
          <t>Baker, Mike A (DOR):</t>
        </r>
        <r>
          <rPr>
            <sz val="9"/>
            <color indexed="81"/>
            <rFont val="Tahoma"/>
            <family val="2"/>
          </rPr>
          <t xml:space="preserve">
See 10K page 27 - 302</t>
        </r>
      </text>
    </comment>
    <comment ref="G28" authorId="0" shapeId="0" xr:uid="{CAA3E9A6-B7F8-4C1C-AE4C-342302E2908F}">
      <text>
        <r>
          <rPr>
            <b/>
            <sz val="9"/>
            <color indexed="81"/>
            <rFont val="Tahoma"/>
            <family val="2"/>
          </rPr>
          <t>Baker, Mike A (DOR):</t>
        </r>
        <r>
          <rPr>
            <sz val="9"/>
            <color indexed="81"/>
            <rFont val="Tahoma"/>
            <family val="2"/>
          </rPr>
          <t xml:space="preserve">
See 10K page 23-298</t>
        </r>
      </text>
    </comment>
    <comment ref="D29" authorId="0" shapeId="0" xr:uid="{CF4F7C52-D157-4CCD-A67D-7E79BDA66687}">
      <text>
        <r>
          <rPr>
            <b/>
            <sz val="9"/>
            <color indexed="81"/>
            <rFont val="Tahoma"/>
            <family val="2"/>
          </rPr>
          <t>Baker, Mike A (DOR):</t>
        </r>
        <r>
          <rPr>
            <sz val="9"/>
            <color indexed="81"/>
            <rFont val="Tahoma"/>
            <family val="2"/>
          </rPr>
          <t xml:space="preserve">
See 10Q page 6 - 8</t>
        </r>
      </text>
    </comment>
    <comment ref="G29" authorId="0" shapeId="0" xr:uid="{2DC5BCAA-112F-4283-93AE-57DB7F34929C}">
      <text>
        <r>
          <rPr>
            <b/>
            <sz val="9"/>
            <color indexed="81"/>
            <rFont val="Tahoma"/>
            <family val="2"/>
          </rPr>
          <t>Baker, Mike A (DOR):</t>
        </r>
        <r>
          <rPr>
            <sz val="9"/>
            <color indexed="81"/>
            <rFont val="Tahoma"/>
            <family val="2"/>
          </rPr>
          <t xml:space="preserve">
Estimated</t>
        </r>
      </text>
    </comment>
    <comment ref="D30" authorId="0" shapeId="0" xr:uid="{641307CB-0CD9-471C-BBAA-239FB69581CF}">
      <text>
        <r>
          <rPr>
            <b/>
            <sz val="9"/>
            <color indexed="81"/>
            <rFont val="Tahoma"/>
            <family val="2"/>
          </rPr>
          <t>Baker, Mike A (DOR):</t>
        </r>
        <r>
          <rPr>
            <sz val="9"/>
            <color indexed="81"/>
            <rFont val="Tahoma"/>
            <family val="2"/>
          </rPr>
          <t xml:space="preserve">
See 10K page 111-123</t>
        </r>
      </text>
    </comment>
    <comment ref="E30" authorId="0" shapeId="0" xr:uid="{874AC598-1FE7-4853-89AF-72604A8148C0}">
      <text>
        <r>
          <rPr>
            <b/>
            <sz val="9"/>
            <color indexed="81"/>
            <rFont val="Tahoma"/>
            <family val="2"/>
          </rPr>
          <t>Baker, Mike A (DOR):</t>
        </r>
        <r>
          <rPr>
            <sz val="9"/>
            <color indexed="81"/>
            <rFont val="Tahoma"/>
            <family val="2"/>
          </rPr>
          <t xml:space="preserve">
See 10K page 111-123</t>
        </r>
      </text>
    </comment>
    <comment ref="G30" authorId="0" shapeId="0" xr:uid="{C17253CC-1975-4DD7-A552-AA7E6DB17749}">
      <text>
        <r>
          <rPr>
            <b/>
            <sz val="9"/>
            <color indexed="81"/>
            <rFont val="Tahoma"/>
            <family val="2"/>
          </rPr>
          <t>Baker, Mike A (DOR):</t>
        </r>
        <r>
          <rPr>
            <sz val="9"/>
            <color indexed="81"/>
            <rFont val="Tahoma"/>
            <family val="2"/>
          </rPr>
          <t xml:space="preserve">
See 10K page 84-95</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Baker, Mike A (DOR)</author>
  </authors>
  <commentList>
    <comment ref="D19" authorId="0" shapeId="0" xr:uid="{F665B49A-4B52-481E-A2E7-AF200576B2D2}">
      <text>
        <r>
          <rPr>
            <b/>
            <sz val="9"/>
            <color indexed="81"/>
            <rFont val="Tahoma"/>
            <family val="2"/>
          </rPr>
          <t>Baker, Mike A (DOR):</t>
        </r>
        <r>
          <rPr>
            <sz val="9"/>
            <color indexed="81"/>
            <rFont val="Tahoma"/>
            <family val="2"/>
          </rPr>
          <t xml:space="preserve">
See page 21 of 10Q</t>
        </r>
      </text>
    </comment>
    <comment ref="D23" authorId="0" shapeId="0" xr:uid="{EE6AEE1A-57CB-4A9E-BBD0-5489F78E3604}">
      <text>
        <r>
          <rPr>
            <b/>
            <sz val="9"/>
            <color indexed="81"/>
            <rFont val="Tahoma"/>
            <family val="2"/>
          </rPr>
          <t>Baker, Mike A (DOR):</t>
        </r>
        <r>
          <rPr>
            <sz val="9"/>
            <color indexed="81"/>
            <rFont val="Tahoma"/>
            <family val="2"/>
          </rPr>
          <t xml:space="preserve">
See page 20 10Q</t>
        </r>
      </text>
    </comment>
    <comment ref="D24" authorId="0" shapeId="0" xr:uid="{1471D6C6-96F8-416C-8AE9-952EA591A0DC}">
      <text>
        <r>
          <rPr>
            <b/>
            <sz val="9"/>
            <color indexed="81"/>
            <rFont val="Tahoma"/>
            <family val="2"/>
          </rPr>
          <t>Baker, Mike A (DOR):</t>
        </r>
        <r>
          <rPr>
            <sz val="9"/>
            <color indexed="81"/>
            <rFont val="Tahoma"/>
            <family val="2"/>
          </rPr>
          <t xml:space="preserve">
See 10K page 109</t>
        </r>
      </text>
    </comment>
    <comment ref="D25" authorId="0" shapeId="0" xr:uid="{B229CF4E-FD1B-4FD0-9D28-2C28D5EFD5A2}">
      <text>
        <r>
          <rPr>
            <b/>
            <sz val="9"/>
            <color indexed="81"/>
            <rFont val="Tahoma"/>
            <family val="2"/>
          </rPr>
          <t>Baker, Mike A (DOR):</t>
        </r>
        <r>
          <rPr>
            <sz val="9"/>
            <color indexed="81"/>
            <rFont val="Tahoma"/>
            <family val="2"/>
          </rPr>
          <t xml:space="preserve">
See 10K page 111</t>
        </r>
      </text>
    </comment>
    <comment ref="E25" authorId="0" shapeId="0" xr:uid="{56EDB1B3-8F4D-409F-AAD7-41D802A8C7C7}">
      <text>
        <r>
          <rPr>
            <b/>
            <sz val="9"/>
            <color indexed="81"/>
            <rFont val="Tahoma"/>
            <family val="2"/>
          </rPr>
          <t>Baker, Mike A (DOR):</t>
        </r>
        <r>
          <rPr>
            <sz val="9"/>
            <color indexed="81"/>
            <rFont val="Tahoma"/>
            <family val="2"/>
          </rPr>
          <t xml:space="preserve">
See 10K page 80</t>
        </r>
      </text>
    </comment>
    <comment ref="C26" authorId="0" shapeId="0" xr:uid="{4192E0D3-F0FC-4F99-8EA0-8ADB1CBE5B41}">
      <text>
        <r>
          <rPr>
            <b/>
            <sz val="9"/>
            <color indexed="81"/>
            <rFont val="Tahoma"/>
            <family val="2"/>
          </rPr>
          <t>Baker, Mike A (DOR):</t>
        </r>
        <r>
          <rPr>
            <sz val="9"/>
            <color indexed="81"/>
            <rFont val="Tahoma"/>
            <family val="2"/>
          </rPr>
          <t xml:space="preserve">
See page 42 of 10K</t>
        </r>
      </text>
    </comment>
    <comment ref="E26" authorId="0" shapeId="0" xr:uid="{C1E4860B-58A7-4909-B56D-1CCD766B0500}">
      <text>
        <r>
          <rPr>
            <b/>
            <sz val="9"/>
            <color indexed="81"/>
            <rFont val="Tahoma"/>
            <family val="2"/>
          </rPr>
          <t>Baker, Mike A (DOR):</t>
        </r>
        <r>
          <rPr>
            <sz val="9"/>
            <color indexed="81"/>
            <rFont val="Tahoma"/>
            <family val="2"/>
          </rPr>
          <t xml:space="preserve">
See 10K page 45</t>
        </r>
      </text>
    </comment>
    <comment ref="C27" authorId="0" shapeId="0" xr:uid="{41A5193C-8E7F-4A9A-83CB-6678F7FE378A}">
      <text>
        <r>
          <rPr>
            <b/>
            <sz val="9"/>
            <color indexed="81"/>
            <rFont val="Tahoma"/>
            <family val="2"/>
          </rPr>
          <t>Baker, Mike A (DOR):</t>
        </r>
        <r>
          <rPr>
            <sz val="9"/>
            <color indexed="81"/>
            <rFont val="Tahoma"/>
            <family val="2"/>
          </rPr>
          <t xml:space="preserve">
See 10K page 23-298</t>
        </r>
      </text>
    </comment>
    <comment ref="D27" authorId="0" shapeId="0" xr:uid="{EA456A50-6596-411E-96A3-30FDF75FA9EE}">
      <text>
        <r>
          <rPr>
            <b/>
            <sz val="9"/>
            <color indexed="81"/>
            <rFont val="Tahoma"/>
            <family val="2"/>
          </rPr>
          <t>Baker, Mike A (DOR):</t>
        </r>
        <r>
          <rPr>
            <sz val="9"/>
            <color indexed="81"/>
            <rFont val="Tahoma"/>
            <family val="2"/>
          </rPr>
          <t xml:space="preserve">
See 10K page 55 &amp; 56 -- 330 &amp; 331</t>
        </r>
      </text>
    </comment>
    <comment ref="C28" authorId="0" shapeId="0" xr:uid="{0CFD26A8-B8EF-4378-8379-DF60FEA4D1E6}">
      <text>
        <r>
          <rPr>
            <b/>
            <sz val="9"/>
            <color indexed="81"/>
            <rFont val="Tahoma"/>
            <family val="2"/>
          </rPr>
          <t>Baker, Mike A (DOR):</t>
        </r>
        <r>
          <rPr>
            <sz val="9"/>
            <color indexed="81"/>
            <rFont val="Tahoma"/>
            <family val="2"/>
          </rPr>
          <t xml:space="preserve">
Add four qtrs of data or find an annual report ending dec 31   The 119.8 figures as of Sept
</t>
        </r>
      </text>
    </comment>
    <comment ref="D28" authorId="0" shapeId="0" xr:uid="{9CE06E10-EA9E-4619-B2E3-E73DA329443A}">
      <text>
        <r>
          <rPr>
            <b/>
            <sz val="9"/>
            <color indexed="81"/>
            <rFont val="Tahoma"/>
            <family val="2"/>
          </rPr>
          <t>Baker, Mike A (DOR):</t>
        </r>
        <r>
          <rPr>
            <sz val="9"/>
            <color indexed="81"/>
            <rFont val="Tahoma"/>
            <family val="2"/>
          </rPr>
          <t xml:space="preserve">
See 10Q page34-37</t>
        </r>
      </text>
    </comment>
    <comment ref="D29" authorId="0" shapeId="0" xr:uid="{505D14A9-6781-4279-A506-B3F23A4B0A0E}">
      <text>
        <r>
          <rPr>
            <b/>
            <sz val="9"/>
            <color indexed="81"/>
            <rFont val="Tahoma"/>
            <family val="2"/>
          </rPr>
          <t>Baker, Mike A (DOR):</t>
        </r>
        <r>
          <rPr>
            <sz val="9"/>
            <color indexed="81"/>
            <rFont val="Tahoma"/>
            <family val="2"/>
          </rPr>
          <t xml:space="preserve">
See 10K page 128-140</t>
        </r>
      </text>
    </comment>
  </commentList>
</comments>
</file>

<file path=xl/sharedStrings.xml><?xml version="1.0" encoding="utf-8"?>
<sst xmlns="http://schemas.openxmlformats.org/spreadsheetml/2006/main" count="1633" uniqueCount="529">
  <si>
    <t xml:space="preserve"> </t>
  </si>
  <si>
    <t>KENTUCKY DEPARTMENT OF REVENUE</t>
  </si>
  <si>
    <t>Company</t>
  </si>
  <si>
    <t>Ticker</t>
  </si>
  <si>
    <t>Symbol</t>
  </si>
  <si>
    <t xml:space="preserve">Industry </t>
  </si>
  <si>
    <t>Group</t>
  </si>
  <si>
    <t>VL</t>
  </si>
  <si>
    <t>10K / SEC</t>
  </si>
  <si>
    <t>DIVISION OF STATE VALUATION, PUBLIC SERVICE BRANCH</t>
  </si>
  <si>
    <t>Stock Price</t>
  </si>
  <si>
    <t>Preferred Stock</t>
  </si>
  <si>
    <t>Common Stock</t>
  </si>
  <si>
    <t>4th Qtr</t>
  </si>
  <si>
    <t>FMV</t>
  </si>
  <si>
    <t>Calculated</t>
  </si>
  <si>
    <t>Total Market Value</t>
  </si>
  <si>
    <t>% Common Stock</t>
  </si>
  <si>
    <t>Median</t>
  </si>
  <si>
    <t>Average</t>
  </si>
  <si>
    <t xml:space="preserve">Financial </t>
  </si>
  <si>
    <t xml:space="preserve">Actual </t>
  </si>
  <si>
    <t>Strength</t>
  </si>
  <si>
    <t>Tax Rate</t>
  </si>
  <si>
    <t>A</t>
  </si>
  <si>
    <t>B+</t>
  </si>
  <si>
    <t>B++</t>
  </si>
  <si>
    <t>Computed</t>
  </si>
  <si>
    <t>Price</t>
  </si>
  <si>
    <t>Multiple</t>
  </si>
  <si>
    <t>Inverse</t>
  </si>
  <si>
    <t>KENTUCKY</t>
  </si>
  <si>
    <t xml:space="preserve">Source of </t>
  </si>
  <si>
    <t>Capital</t>
  </si>
  <si>
    <t>Cost of Capital</t>
  </si>
  <si>
    <t>Weighted</t>
  </si>
  <si>
    <t>Structure</t>
  </si>
  <si>
    <t>Rate</t>
  </si>
  <si>
    <t>After Tax</t>
  </si>
  <si>
    <t>Cost</t>
  </si>
  <si>
    <t>EQUITY</t>
  </si>
  <si>
    <t>-</t>
  </si>
  <si>
    <t>DEBT</t>
  </si>
  <si>
    <t>TOTAL</t>
  </si>
  <si>
    <t>WEC Energy Group</t>
  </si>
  <si>
    <t>ALE</t>
  </si>
  <si>
    <t>LNT</t>
  </si>
  <si>
    <t>CMS</t>
  </si>
  <si>
    <t>DTE</t>
  </si>
  <si>
    <t>OGE</t>
  </si>
  <si>
    <t>AEE</t>
  </si>
  <si>
    <t>AEP</t>
  </si>
  <si>
    <t>CNP</t>
  </si>
  <si>
    <t>WEC</t>
  </si>
  <si>
    <t>A+</t>
  </si>
  <si>
    <t xml:space="preserve">  </t>
  </si>
  <si>
    <t>High</t>
  </si>
  <si>
    <t>Low</t>
  </si>
  <si>
    <t>DUK</t>
  </si>
  <si>
    <t>ETR</t>
  </si>
  <si>
    <t>Mergent Bond</t>
  </si>
  <si>
    <t>Rating</t>
  </si>
  <si>
    <t>FE</t>
  </si>
  <si>
    <t>Debt Rate</t>
  </si>
  <si>
    <t>S&amp;P</t>
  </si>
  <si>
    <t>S &amp; P</t>
  </si>
  <si>
    <t>% LT Debt &amp; Pref Stock</t>
  </si>
  <si>
    <t>Baa1</t>
  </si>
  <si>
    <t>Baa2</t>
  </si>
  <si>
    <t>BBB+</t>
  </si>
  <si>
    <t>BBB</t>
  </si>
  <si>
    <t xml:space="preserve">Guideline companies were selected from Electric (East &amp; Central &amp; West) Value Line Industry groups. </t>
  </si>
  <si>
    <t>The capital structure of this industry is a representative or typical capital structure of the group, not that of the present owner.  The capital structure selected reflects the most likely arrangement of a prospective buyer.</t>
  </si>
  <si>
    <t>A1</t>
  </si>
  <si>
    <t>Ba1</t>
  </si>
  <si>
    <t>A3</t>
  </si>
  <si>
    <t>Baa3</t>
  </si>
  <si>
    <t>A-</t>
  </si>
  <si>
    <t>BBB-</t>
  </si>
  <si>
    <t>Book Value</t>
  </si>
  <si>
    <t>Shares Issued less Treasury</t>
  </si>
  <si>
    <t>2023 Tax Year</t>
  </si>
  <si>
    <t>DIRECT CAPITALIZATION RATE CONCLUSION</t>
  </si>
  <si>
    <t>YIELD CAPITALIZATION RATE CONCLUSION</t>
  </si>
  <si>
    <t>GCF After Tax</t>
  </si>
  <si>
    <t>Capitalization Rate</t>
  </si>
  <si>
    <t>Capitalization</t>
  </si>
  <si>
    <t>Marginal</t>
  </si>
  <si>
    <t>CAP RATE</t>
  </si>
  <si>
    <t>NOI After Tax  (NOPAT)</t>
  </si>
  <si>
    <t>WACC</t>
  </si>
  <si>
    <t>Notes:</t>
  </si>
  <si>
    <t>Shares Outstanding *</t>
  </si>
  <si>
    <t>Selected</t>
  </si>
  <si>
    <t>2023 CAPITALIZATION RATE STUDY</t>
  </si>
  <si>
    <t>YEAR END 12/31/2022</t>
  </si>
  <si>
    <t>CAPITAL STRUCTURE</t>
  </si>
  <si>
    <t>Maintenance Capital Expenditures</t>
  </si>
  <si>
    <t>Estimate using Guideline Companies</t>
  </si>
  <si>
    <t>Inflation</t>
  </si>
  <si>
    <t>Rate %</t>
  </si>
  <si>
    <t>CPI</t>
  </si>
  <si>
    <t>PP&amp;E Gross</t>
  </si>
  <si>
    <t>PP&amp;E</t>
  </si>
  <si>
    <t>Previous Year</t>
  </si>
  <si>
    <t>Current Year</t>
  </si>
  <si>
    <t>Depreciation</t>
  </si>
  <si>
    <t>Expense</t>
  </si>
  <si>
    <t xml:space="preserve">Average Life of </t>
  </si>
  <si>
    <t>Assets</t>
  </si>
  <si>
    <t>B</t>
  </si>
  <si>
    <t>C</t>
  </si>
  <si>
    <t>D</t>
  </si>
  <si>
    <t>E</t>
  </si>
  <si>
    <t>F</t>
  </si>
  <si>
    <t>G</t>
  </si>
  <si>
    <t>H</t>
  </si>
  <si>
    <t>I</t>
  </si>
  <si>
    <t>J</t>
  </si>
  <si>
    <t>K</t>
  </si>
  <si>
    <t>F/G</t>
  </si>
  <si>
    <t>C*H</t>
  </si>
  <si>
    <t>1/(1=C)^H</t>
  </si>
  <si>
    <t>Replacement</t>
  </si>
  <si>
    <t xml:space="preserve">Cost </t>
  </si>
  <si>
    <t>RC as % of</t>
  </si>
  <si>
    <t>K/G</t>
  </si>
  <si>
    <t>L</t>
  </si>
  <si>
    <t>(D+E)/2</t>
  </si>
  <si>
    <t>(G*I) / (1-J)</t>
  </si>
  <si>
    <t>*</t>
  </si>
  <si>
    <t>Gross Cash Flow</t>
  </si>
  <si>
    <t>NOPAT</t>
  </si>
  <si>
    <t>VL Projected NOI</t>
  </si>
  <si>
    <t xml:space="preserve">Year End </t>
  </si>
  <si>
    <t>VL Historic</t>
  </si>
  <si>
    <t>VL Projected</t>
  </si>
  <si>
    <t>Interest Expense</t>
  </si>
  <si>
    <t>Mkt Value LT Debt</t>
  </si>
  <si>
    <t>Book Value LT Debt</t>
  </si>
  <si>
    <t>Current</t>
  </si>
  <si>
    <t>Yield</t>
  </si>
  <si>
    <t>C/H</t>
  </si>
  <si>
    <t>(D+F)/2</t>
  </si>
  <si>
    <t>BETA SELECTION for CAPM</t>
  </si>
  <si>
    <t>SELECTED AVERAGE &gt;</t>
  </si>
  <si>
    <t>Source</t>
  </si>
  <si>
    <t>GDP</t>
  </si>
  <si>
    <t>Nominal</t>
  </si>
  <si>
    <t>Growth</t>
  </si>
  <si>
    <t>DEBT RATE for Yield Approach</t>
  </si>
  <si>
    <t>Book Ratio</t>
  </si>
  <si>
    <t>Mkt to</t>
  </si>
  <si>
    <t>Numeric</t>
  </si>
  <si>
    <t>10K / GAAP</t>
  </si>
  <si>
    <t>Caa3</t>
  </si>
  <si>
    <t>Caa2</t>
  </si>
  <si>
    <t>Caa1</t>
  </si>
  <si>
    <t>B3</t>
  </si>
  <si>
    <t>B2</t>
  </si>
  <si>
    <t>B1</t>
  </si>
  <si>
    <t>Ba3</t>
  </si>
  <si>
    <t>Ba2</t>
  </si>
  <si>
    <t>A2</t>
  </si>
  <si>
    <t>Aa3</t>
  </si>
  <si>
    <t>Aa2</t>
  </si>
  <si>
    <t>Aa1</t>
  </si>
  <si>
    <t>Bond Rating Scale</t>
  </si>
  <si>
    <t>Levered Beta</t>
  </si>
  <si>
    <t>Notes</t>
  </si>
  <si>
    <t>https://www.philadelphiafed.org/research-and-data/real-time-center/livingston-survey</t>
  </si>
  <si>
    <t>https://www.philadelphiafed.org/surveys-and-data/real-time-data-research/survey-of-professional-forecasters</t>
  </si>
  <si>
    <t>https://www.cbo.gov/about/products/budget-economic-data#4</t>
  </si>
  <si>
    <t>Preferred Stock ***</t>
  </si>
  <si>
    <t>Long Term Debt **</t>
  </si>
  <si>
    <t xml:space="preserve">** Debt includes  LT Debt , Current portion of LT Debt, and Finance leases from 10K </t>
  </si>
  <si>
    <t>*** Market value of preferred stock assumed to equal book value</t>
  </si>
  <si>
    <t>* Outstanding stock shares are generally already net of Treasury stock shares</t>
  </si>
  <si>
    <t>MODEL</t>
  </si>
  <si>
    <t>EQUITY RATES for YIELD APPROACH</t>
  </si>
  <si>
    <t>CAPM - The CFO Survey</t>
  </si>
  <si>
    <t>CAPM - Fernandez, Banuls, &amp; Acin</t>
  </si>
  <si>
    <t>CAPM - Ex Post (BVR Historical, Arithmeic)</t>
  </si>
  <si>
    <t>CAPM - Ex Post (BVR Historical, Geometric)</t>
  </si>
  <si>
    <t>Empirical CAPM - The CFO Survey</t>
  </si>
  <si>
    <t>Empirical CAPM - Fernandez, Banuls, &amp; Acin</t>
  </si>
  <si>
    <t>Empirical CAPM - Ex Post (BVR Historical, Arithmeic)</t>
  </si>
  <si>
    <t>Empirical CAPM - Ex Post (BVR Historical, Geometric)</t>
  </si>
  <si>
    <t>Stock</t>
  </si>
  <si>
    <t>Dividends</t>
  </si>
  <si>
    <t>Per Share</t>
  </si>
  <si>
    <t>Dividend</t>
  </si>
  <si>
    <t>Historic</t>
  </si>
  <si>
    <t>Dividend Data</t>
  </si>
  <si>
    <t>AA-</t>
  </si>
  <si>
    <t>Earnings</t>
  </si>
  <si>
    <t>Equity</t>
  </si>
  <si>
    <t>Equity Rate</t>
  </si>
  <si>
    <t>(F+G)</t>
  </si>
  <si>
    <t>(F+H)</t>
  </si>
  <si>
    <t xml:space="preserve">Yield Equity Rate - DGM (Dividend Growth) &amp; DGM (Earnings Growth)  </t>
  </si>
  <si>
    <t>Dividend Yield</t>
  </si>
  <si>
    <t xml:space="preserve">Projected Short Term </t>
  </si>
  <si>
    <t>DGM - Earnings Growth Rate &gt;</t>
  </si>
  <si>
    <t>DGM - Dividend Growth Rate &gt;</t>
  </si>
  <si>
    <t>Yield Equity Rate - DGM (Two-Stage)</t>
  </si>
  <si>
    <t>Stable</t>
  </si>
  <si>
    <t>Growth Rate</t>
  </si>
  <si>
    <t>Cost of</t>
  </si>
  <si>
    <t>g</t>
  </si>
  <si>
    <t>DY</t>
  </si>
  <si>
    <t>G1</t>
  </si>
  <si>
    <t>(G1 + g)/2</t>
  </si>
  <si>
    <t>KE = (DY X (1 + .5(G))) + .67 (G1) + .33(g)</t>
  </si>
  <si>
    <t>Kentucky</t>
  </si>
  <si>
    <r>
      <t xml:space="preserve">DEBT RATE for Direct Approach </t>
    </r>
    <r>
      <rPr>
        <b/>
        <sz val="12"/>
        <color theme="1"/>
        <rFont val="Microsoft GothicNeo"/>
        <family val="2"/>
        <charset val="129"/>
      </rPr>
      <t>(Embedded)</t>
    </r>
  </si>
  <si>
    <t>Common Equity</t>
  </si>
  <si>
    <t>.</t>
  </si>
  <si>
    <t xml:space="preserve">Obligations rated Ca are highly speculative and are likely in, or very near, default, with some prospect of recovery in principal and interest. </t>
  </si>
  <si>
    <t xml:space="preserve">Obligations rated C are the lowest-rated class of bonds and are typical­ly in default, with little prospect for recovery of principal and interest. </t>
  </si>
  <si>
    <t xml:space="preserve">Obligations rated Caa are judged to be of poor standing and are subject to very high credit risk . </t>
  </si>
  <si>
    <t>Obligations rated Aaa are judged to be of the highest quality, with minimal risk.</t>
  </si>
  <si>
    <t xml:space="preserve">Obligations rated A are considered upper-medium-grade and are sub­ject to low credit risk. </t>
  </si>
  <si>
    <t xml:space="preserve">Obligations rated B are considered speculative and are subject to high credit risk. </t>
  </si>
  <si>
    <t xml:space="preserve">Obligations rated Ba are judged to have speculative elements and are subject to substantial credit risk. </t>
  </si>
  <si>
    <t xml:space="preserve">Obligations rated Baa are subject to moderate credit risk. They are considered medium-grade and as such may possess speculative characteristics. </t>
  </si>
  <si>
    <t>D1 = Expected Dividends</t>
  </si>
  <si>
    <r>
      <t>K</t>
    </r>
    <r>
      <rPr>
        <b/>
        <sz val="10"/>
        <color theme="1"/>
        <rFont val="Microsoft GothicNeo"/>
        <family val="2"/>
        <charset val="129"/>
      </rPr>
      <t>E</t>
    </r>
    <r>
      <rPr>
        <b/>
        <sz val="16"/>
        <color theme="1"/>
        <rFont val="Microsoft GothicNeo"/>
        <family val="2"/>
        <charset val="129"/>
      </rPr>
      <t xml:space="preserve"> = (D</t>
    </r>
    <r>
      <rPr>
        <b/>
        <sz val="10"/>
        <color theme="1"/>
        <rFont val="Microsoft GothicNeo"/>
        <family val="2"/>
        <charset val="129"/>
      </rPr>
      <t>1</t>
    </r>
    <r>
      <rPr>
        <b/>
        <sz val="16"/>
        <color theme="1"/>
        <rFont val="Microsoft GothicNeo"/>
        <family val="2"/>
        <charset val="129"/>
      </rPr>
      <t xml:space="preserve"> / P</t>
    </r>
    <r>
      <rPr>
        <b/>
        <sz val="10"/>
        <color theme="1"/>
        <rFont val="Microsoft GothicNeo"/>
        <family val="2"/>
        <charset val="129"/>
      </rPr>
      <t>o</t>
    </r>
    <r>
      <rPr>
        <b/>
        <sz val="16"/>
        <color theme="1"/>
        <rFont val="Microsoft GothicNeo"/>
        <family val="2"/>
        <charset val="129"/>
      </rPr>
      <t>) + G</t>
    </r>
  </si>
  <si>
    <t>KE = Cost of Equity</t>
  </si>
  <si>
    <t>Po   = Current Price</t>
  </si>
  <si>
    <r>
      <t>Price (P</t>
    </r>
    <r>
      <rPr>
        <b/>
        <sz val="9"/>
        <color theme="1"/>
        <rFont val="Microsoft GothicNeo"/>
        <family val="2"/>
        <charset val="129"/>
      </rPr>
      <t>0</t>
    </r>
    <r>
      <rPr>
        <b/>
        <sz val="11"/>
        <color theme="1"/>
        <rFont val="Microsoft GothicNeo"/>
        <family val="2"/>
        <charset val="129"/>
      </rPr>
      <t>)</t>
    </r>
  </si>
  <si>
    <t xml:space="preserve">Dividend Growth Rate </t>
  </si>
  <si>
    <t xml:space="preserve">Earnings Per Share Growth Rate </t>
  </si>
  <si>
    <r>
      <t>Long Term Debt</t>
    </r>
    <r>
      <rPr>
        <b/>
        <sz val="10"/>
        <color theme="1"/>
        <rFont val="Microsoft GothicNeo"/>
        <family val="2"/>
        <charset val="129"/>
      </rPr>
      <t xml:space="preserve"> </t>
    </r>
  </si>
  <si>
    <t>CAPITAL ASSET PRICING MODEL (CAPM)</t>
  </si>
  <si>
    <t>Selected &gt;</t>
  </si>
  <si>
    <t>Inflation and Gross Domestic Product (GDP) Data</t>
  </si>
  <si>
    <t>INFLATION &amp; GDP</t>
  </si>
  <si>
    <t>(2)  Federal Reserve Bank of Philadelphia The Livingston Survey December 17, 2022 Table 3, page 8   Median annual CPI Rate and Real GDP Growth Rate for next 10 years</t>
  </si>
  <si>
    <t>SELECTED &gt;</t>
  </si>
  <si>
    <t>Equity Risk Premium (ERP)</t>
  </si>
  <si>
    <t>Indicated Equity Rate</t>
  </si>
  <si>
    <t>Industry Risk Premium</t>
  </si>
  <si>
    <t>Weighted Industry Risk Premium (75%)</t>
  </si>
  <si>
    <t>Weighted Equity Risk Premium (25%)</t>
  </si>
  <si>
    <t xml:space="preserve">The CFO Survey  (4) </t>
  </si>
  <si>
    <t>BVR - Historical, Arithmetic Mean  (6)</t>
  </si>
  <si>
    <t>BVR - Historical, Geometric Mean  (7)</t>
  </si>
  <si>
    <t>Empirical CAPM Models</t>
  </si>
  <si>
    <t>CAPM Models</t>
  </si>
  <si>
    <t>KE = Rf + (B  X  ERP X  75%) = (ERP  X  25%)</t>
  </si>
  <si>
    <t>KE = Rf + (B  X  ERP)</t>
  </si>
  <si>
    <t>Industry Beta (B)</t>
  </si>
  <si>
    <t>Value Line Earnings</t>
  </si>
  <si>
    <t>Value Line Dividends</t>
  </si>
  <si>
    <t>Yahoo Finance</t>
  </si>
  <si>
    <t>Return on</t>
  </si>
  <si>
    <t>Gross Revenue</t>
  </si>
  <si>
    <t>Multiplier</t>
  </si>
  <si>
    <t>NOPAT CASH FLOW MULTIPLE &amp; EQUITY RATE</t>
  </si>
  <si>
    <r>
      <t xml:space="preserve">NOPAT CASH FLOW MULTIPLE &amp; EQUITY RATE </t>
    </r>
    <r>
      <rPr>
        <b/>
        <sz val="12"/>
        <color theme="1"/>
        <rFont val="Microsoft GothicNeo"/>
        <family val="2"/>
        <charset val="129"/>
      </rPr>
      <t>(1 Yr Projected VL)</t>
    </r>
  </si>
  <si>
    <t>Long Term Debt includes LT Debt plus Current Portion of LT debt, plus Finance Leases</t>
  </si>
  <si>
    <t>Two-Stage DGM Rate &gt;</t>
  </si>
  <si>
    <t>DGM - Single Stage - Earnings Growth</t>
  </si>
  <si>
    <t>DGM - Single Stage - Dividend Growth</t>
  </si>
  <si>
    <t>DGM - Two Stage - Dividend Growth</t>
  </si>
  <si>
    <t>VL LT Projected NOI</t>
  </si>
  <si>
    <t>Indicated Rate of Debt &gt;</t>
  </si>
  <si>
    <t>Year End</t>
  </si>
  <si>
    <t>&amp; Finance Leases</t>
  </si>
  <si>
    <t>10K Income Statement</t>
  </si>
  <si>
    <t>10K Balance Sheet</t>
  </si>
  <si>
    <t>Indicated Rate of Equity Selected &gt;</t>
  </si>
  <si>
    <t>NOTE:</t>
  </si>
  <si>
    <t>SHORT-TERM GROWTH RATES (5 years)</t>
  </si>
  <si>
    <t>INFLATION RATES</t>
  </si>
  <si>
    <t>LONG TERM GROWTH RATES</t>
  </si>
  <si>
    <t xml:space="preserve">The Federal Reserve Bank projects their "longer run" estimate of change in the U.S. real Gross Domestice Product (GDP) </t>
  </si>
  <si>
    <t>The World Bank forecasts U.S. GDP</t>
  </si>
  <si>
    <t>The Economist Intelligence Unit forecasts U.S. real GDP will grow from 2021 to 2050</t>
  </si>
  <si>
    <t>GROWTH &amp; INFLATION RATES</t>
  </si>
  <si>
    <t>Real LT Growth</t>
  </si>
  <si>
    <t>Federal Reserve Board members and Federal Reserve Bank presidents estimate of long run personal consumption expenditures inflation (5)</t>
  </si>
  <si>
    <t xml:space="preserve">FRB members &amp; FRB presidents opinion (5) </t>
  </si>
  <si>
    <t xml:space="preserve">(5) Board of Governors of the Federal Reserve System, Economic projections of Federal Reserve Board members and Federal Reserve Bank presidents under their individual assessments of projected appropriate monetary policy. December 2022 </t>
  </si>
  <si>
    <t xml:space="preserve">Federal Reserve Bank of Philadelphia - The Livingston Survey - Inflation Mean (measured by the CPI over next 10 years) Table 3   (2) </t>
  </si>
  <si>
    <t xml:space="preserve">Federal Reserve Bank of Philadelphia - The Livingston Survey - Inflation Median (measured by the CPI over next 10 years) Page 8  (2)  </t>
  </si>
  <si>
    <t>Survey of Professional Forecasters Tables 8 &amp; 9   (3)</t>
  </si>
  <si>
    <t>Federal Reserve Statistical Release  10 Yr Inflation protected Treasury securities (1)</t>
  </si>
  <si>
    <t xml:space="preserve">Federal Reserve Statistical Release  20 Yr Inflation protected Treasury securities (1) </t>
  </si>
  <si>
    <t xml:space="preserve">Federal Reserve Statistical Release  30 Yr Inflation protected Treasury securities (1) </t>
  </si>
  <si>
    <t>Federal Reserve Bank of Philadelphia / Livingston Survey Mean  (2)</t>
  </si>
  <si>
    <t>Federal Reserve Bank of Philadelphia / Livingston Survey  Median (2)</t>
  </si>
  <si>
    <t>“Since no firm can grow forever at a rate higher than the growth rate of the economy in which it operates, the constant growth rate cannot be greater</t>
  </si>
  <si>
    <t xml:space="preserve">than the overall growth rate of the economy.”  Dr. Aswath Damodaran (n.d.) The Stable Growth Rate, </t>
  </si>
  <si>
    <t>http://pages.stern.nyu.edu/~adamodar/New_Home_Page/valquestions/stablegrowthrate.htm</t>
  </si>
  <si>
    <t>Trimmed Average</t>
  </si>
  <si>
    <t>*Cornell, B. &amp; Gerger, R. (2017) Estimating Terminal Values with Inflation : The Inputs Matter - It is Not a Formulaic Exercise.  Business Valuation Review, Vol.36, Number 4, 117-123.</t>
  </si>
  <si>
    <t>C1  C2  C3</t>
  </si>
  <si>
    <t>MEDIAN GROWTH RATES</t>
  </si>
  <si>
    <t>SOURCE &gt;</t>
  </si>
  <si>
    <t>SOURCES &gt;</t>
  </si>
  <si>
    <t>Vl Projected 2023</t>
  </si>
  <si>
    <t>1 Yr Projected</t>
  </si>
  <si>
    <t>3-5 Yr Projected</t>
  </si>
  <si>
    <t>Short Term</t>
  </si>
  <si>
    <t>(1)</t>
  </si>
  <si>
    <t>(1)    4 Year compound annual growth rate (CAGR)  - 3 periods</t>
  </si>
  <si>
    <t>Earnings Data</t>
  </si>
  <si>
    <r>
      <t xml:space="preserve">KY DOR                    Earnings Growth Rate                 </t>
    </r>
    <r>
      <rPr>
        <b/>
        <sz val="9"/>
        <color theme="1"/>
        <rFont val="Microsoft GothicNeo"/>
        <family val="2"/>
        <charset val="129"/>
      </rPr>
      <t xml:space="preserve"> (Median / Average)</t>
    </r>
  </si>
  <si>
    <r>
      <t xml:space="preserve">KY DOR                Dividends Growth Rate </t>
    </r>
    <r>
      <rPr>
        <b/>
        <sz val="9"/>
        <color theme="1"/>
        <rFont val="Microsoft GothicNeo"/>
        <family val="2"/>
        <charset val="129"/>
      </rPr>
      <t xml:space="preserve"> (Median / Average)</t>
    </r>
  </si>
  <si>
    <t>YIELD EQUITY RATE</t>
  </si>
  <si>
    <t>g = b X ROE</t>
  </si>
  <si>
    <t>g = LT growth rate</t>
  </si>
  <si>
    <t>b = reinvestment rate</t>
  </si>
  <si>
    <t>ROE = Return on equity (or return on investment)</t>
  </si>
  <si>
    <t>b = g  / ROE</t>
  </si>
  <si>
    <t>The plowback ratio is multiplied by Net Cash Flow to estimate the amount of additional capital expenditures needed to achieve projected results.</t>
  </si>
  <si>
    <t>Reinvestment Rate =</t>
  </si>
  <si>
    <t>EBIT (1-Tax Rate)</t>
  </si>
  <si>
    <t>Capital Expenditures - Depreciation + Change in Working Capital</t>
  </si>
  <si>
    <t>Aswath Damodaran's model to determine the Reinvesment Rate &gt;</t>
  </si>
  <si>
    <t>It is assumed that the ROE is a fixed (unchanging) rate.</t>
  </si>
  <si>
    <t>Maintenance Capital Expenditures and Change in Working Capital</t>
  </si>
  <si>
    <t>http://www.federalreserve.gov/</t>
  </si>
  <si>
    <t>Board of Governors of the Federal Reserve System, H.15, Selected Interest Rates, Market Yield on U.S. Treasury Securities 30-year constant maturity quoted on investment bases, daily observations, January 3, 2022.</t>
  </si>
  <si>
    <t>Operating Leases ****</t>
  </si>
  <si>
    <t>Market Value</t>
  </si>
  <si>
    <t>10K</t>
  </si>
  <si>
    <t>Market to</t>
  </si>
  <si>
    <t>Long Term Debt</t>
  </si>
  <si>
    <t xml:space="preserve">Capital </t>
  </si>
  <si>
    <t>Market</t>
  </si>
  <si>
    <t>to Book</t>
  </si>
  <si>
    <t>Composite</t>
  </si>
  <si>
    <t>Total</t>
  </si>
  <si>
    <t>AVERAGE</t>
  </si>
  <si>
    <t>Market to Book Ratios - Obsolescence Measurement</t>
  </si>
  <si>
    <t>Common Total Equity</t>
  </si>
  <si>
    <t>FMV / PV</t>
  </si>
  <si>
    <t>GCF CASH FLOW MULTIPLE &amp; EQUITY RATE</t>
  </si>
  <si>
    <r>
      <t xml:space="preserve">GCF CASH FLOW MULTIPLE &amp; EQUITY RATE </t>
    </r>
    <r>
      <rPr>
        <b/>
        <sz val="12"/>
        <color theme="1"/>
        <rFont val="Microsoft GothicNeo"/>
        <family val="2"/>
        <charset val="129"/>
      </rPr>
      <t>(1 Yr Projected VL)</t>
    </r>
  </si>
  <si>
    <t>https://tradingeconomics.com/united-states/gdp-growth</t>
  </si>
  <si>
    <t xml:space="preserve">http://www.worldbank.org/en/publication/global-economic-prospects </t>
  </si>
  <si>
    <t>CFRA                                    S&amp;P Net Advantage</t>
  </si>
  <si>
    <t>Zacks Investment Research</t>
  </si>
  <si>
    <t>*** Market value of operating leases for all companies including the airlines and railroads</t>
  </si>
  <si>
    <t>Companies excluded from the study &gt;</t>
  </si>
  <si>
    <r>
      <t>K</t>
    </r>
    <r>
      <rPr>
        <b/>
        <sz val="10"/>
        <color theme="1"/>
        <rFont val="Microsoft GothicNeo"/>
        <family val="2"/>
        <charset val="129"/>
      </rPr>
      <t>E</t>
    </r>
    <r>
      <rPr>
        <b/>
        <sz val="16"/>
        <color theme="1"/>
        <rFont val="Microsoft GothicNeo"/>
        <family val="2"/>
        <charset val="129"/>
      </rPr>
      <t xml:space="preserve"> = (DY  X  (1+ .5(G)))  + .67(G1)  +  .33(g)</t>
    </r>
  </si>
  <si>
    <t>DY = Dividend Yield     See ValueLine</t>
  </si>
  <si>
    <t>G   = Average growth rate</t>
  </si>
  <si>
    <t>G1 = Short term growth estimate</t>
  </si>
  <si>
    <t>g   = Stable Growth - Nominal growth rate</t>
  </si>
  <si>
    <t>AAA</t>
  </si>
  <si>
    <t>AA+</t>
  </si>
  <si>
    <t>AA</t>
  </si>
  <si>
    <t>Obligations rated Aa are judged to be of high quality, with minimal risk.</t>
  </si>
  <si>
    <t>BB+</t>
  </si>
  <si>
    <t>BB</t>
  </si>
  <si>
    <t>BB-</t>
  </si>
  <si>
    <t>B-</t>
  </si>
  <si>
    <t>CCC+</t>
  </si>
  <si>
    <t>CCC</t>
  </si>
  <si>
    <t>CCC-</t>
  </si>
  <si>
    <t>CC</t>
  </si>
  <si>
    <t>Scale</t>
  </si>
  <si>
    <t>Retained to</t>
  </si>
  <si>
    <t>Shareholders Equity</t>
  </si>
  <si>
    <t>Return on Shareholders Equity -- Annual net profit divided by year-end shareholders equity, expressed as a percentage.</t>
  </si>
  <si>
    <t>Retained to Common Equity -- Net profit less all common and preferred dividends divided by common equity including intangible assets, expressed as a percentage.  Also known as the plowback ratio.</t>
  </si>
  <si>
    <t>Aaa1</t>
  </si>
  <si>
    <t>AAA+</t>
  </si>
  <si>
    <t>Aaa2</t>
  </si>
  <si>
    <t>Aaa3</t>
  </si>
  <si>
    <t>AAA-</t>
  </si>
  <si>
    <t>Ca1</t>
  </si>
  <si>
    <t>CC+</t>
  </si>
  <si>
    <t>Ca2</t>
  </si>
  <si>
    <t>Ca3</t>
  </si>
  <si>
    <t>CC-</t>
  </si>
  <si>
    <t>GROSS REVENUE &amp; GROSS BOOK (EQUITY) MULTIPLES</t>
  </si>
  <si>
    <t>Gross Revenues</t>
  </si>
  <si>
    <t>Gross Book Value Equity</t>
  </si>
  <si>
    <t>Multiple *</t>
  </si>
  <si>
    <t>* This multiple is applicable to service type companies, or those with few assets.  These companies sell at prices related to their revenues.</t>
  </si>
  <si>
    <t>The higher the return on revenue the higher the price to revenue will be.</t>
  </si>
  <si>
    <t>** The book value, or common equity, per share is total owners' equity minus preferred stock divided by the number of common shares outstanding.</t>
  </si>
  <si>
    <t>The purpose of this ratio is to test whether the market price is worth more (or less) than the cost of the assets.</t>
  </si>
  <si>
    <t>If the result is greater than one(1), it indicates the market value exceeds book value and can often be used as a sign of competent management.</t>
  </si>
  <si>
    <t>Share</t>
  </si>
  <si>
    <t>NOPAT Earnings</t>
  </si>
  <si>
    <t>P/E Ratio - Long Term Projection NOPAT</t>
  </si>
  <si>
    <t>&amp; Op Leases</t>
  </si>
  <si>
    <t>CS+LTD +PS +OL</t>
  </si>
  <si>
    <t>Dec. 31, 2022</t>
  </si>
  <si>
    <t xml:space="preserve">For rate based companies, the maximum allowed  'rate of return' established by state regulators is not comparable (a mismatch) to the 'cost of equity' calculated above.   </t>
  </si>
  <si>
    <t>Dividend Growth = DY + DG</t>
  </si>
  <si>
    <t>Earnings Growth = DY + EG</t>
  </si>
  <si>
    <t>DY = Dividend Yield</t>
  </si>
  <si>
    <t>DG = Dividend Growth</t>
  </si>
  <si>
    <t>EG = Earnings Growth</t>
  </si>
  <si>
    <t>G = Projected Growth (Div. 5 Yr Growth Rate)</t>
  </si>
  <si>
    <t>G = Projected Growth (Earnings Per Share 5 Yr Growth Rate)</t>
  </si>
  <si>
    <t xml:space="preserve">(6) &amp; (7) Business Valuation Resources, Cost of Capital Professional. (2023). Historical ERP, using arithmetic mean and 20-Year Treasury Securities. </t>
  </si>
  <si>
    <t>MGE Energy (MGEE) - Removed due to a lack of a ValueLine review sheet</t>
  </si>
  <si>
    <t>Per Share **</t>
  </si>
  <si>
    <t>Common Total Equity excludes 'noncontrolling interests' equity value.</t>
  </si>
  <si>
    <t xml:space="preserve">Property, Plant &amp; Equipment includes CWIP, but should exclude intangibles and the associated amortization.  </t>
  </si>
  <si>
    <t xml:space="preserve">(2)  Federal Reserve Bank of Philadelphia The Livingston Survey December 17, 2022 Table 3, page 8   Inflation Rate and Real GDP mean  </t>
  </si>
  <si>
    <t xml:space="preserve">(1)  Federal Reserve Statistical Release  December 31, 2022 </t>
  </si>
  <si>
    <t xml:space="preserve">http://www.federalreserve.gov/Releases/H15/Current/ </t>
  </si>
  <si>
    <t>Inflation is the % change in the value of the Wholesale Price Index (WPI) on a year-to-year basis.</t>
  </si>
  <si>
    <t>5 Yr  Dec 30 2022</t>
  </si>
  <si>
    <t>3.99 - 1.63 = 2.36</t>
  </si>
  <si>
    <t>Federal Reserve Statistical release - Inflation Protected Treasury Indexed Securities - 10 Year  (1)</t>
  </si>
  <si>
    <t>10 Yr  Dec 30 2022</t>
  </si>
  <si>
    <t>3.88 - 1.58 = 2.30</t>
  </si>
  <si>
    <t xml:space="preserve">Federal Reserve Statistical release - Inflation Protected Treasury Indexed Securities - 20 Year  (1) </t>
  </si>
  <si>
    <t>20 Yr  Dec 30 2022</t>
  </si>
  <si>
    <t>4.14 - 1.61 = 2.53</t>
  </si>
  <si>
    <t xml:space="preserve">Federal Reserve Statistical release - Inflation Protected Treasury Indexed Securities - 30 Year (1) </t>
  </si>
  <si>
    <t>30 Yr  Dec 30 2022</t>
  </si>
  <si>
    <t>3.97 - 1.66 = 2.31</t>
  </si>
  <si>
    <t>(3)  Federal Reserve Bank of Philadelphia Survey of Professional Forecasters February 11, 2023 Table 8 and Table 9 Average over next 10-Year mean   See below.</t>
  </si>
  <si>
    <t>spfq123.pdf (philadelphiafed.org)</t>
  </si>
  <si>
    <t>https://www.federalreserve.gov/monetarypolicy/files/fomcprojtabl20221215.pdf</t>
  </si>
  <si>
    <r>
      <t xml:space="preserve">.5% </t>
    </r>
    <r>
      <rPr>
        <b/>
        <sz val="14"/>
        <color theme="1"/>
        <rFont val="Microsoft GothicNeo"/>
        <family val="2"/>
        <charset val="129"/>
      </rPr>
      <t>in 2023</t>
    </r>
    <r>
      <rPr>
        <b/>
        <sz val="18"/>
        <color theme="1"/>
        <rFont val="Microsoft GothicNeo"/>
        <family val="2"/>
        <charset val="129"/>
      </rPr>
      <t xml:space="preserve">   &amp;  1.60%</t>
    </r>
    <r>
      <rPr>
        <b/>
        <sz val="14"/>
        <color theme="1"/>
        <rFont val="Microsoft GothicNeo"/>
        <family val="2"/>
        <charset val="129"/>
      </rPr>
      <t xml:space="preserve"> in 2024 </t>
    </r>
  </si>
  <si>
    <t>Mergent Rating</t>
  </si>
  <si>
    <t>Projected 1 Yr</t>
  </si>
  <si>
    <t>Estimated 20-22 to 26-28</t>
  </si>
  <si>
    <t>Earnings Per Share Growth Rate</t>
  </si>
  <si>
    <t>Atmos Energy Corp</t>
  </si>
  <si>
    <t>ATO</t>
  </si>
  <si>
    <t>Gas Utility</t>
  </si>
  <si>
    <t>Black Hills Corporation</t>
  </si>
  <si>
    <t>BKH</t>
  </si>
  <si>
    <t>CenterPoint Energy Inc.</t>
  </si>
  <si>
    <t>CMS Energy Corporation</t>
  </si>
  <si>
    <t>New Jersey Resources Corp</t>
  </si>
  <si>
    <t>NJR</t>
  </si>
  <si>
    <t>NISOURCE Inc.</t>
  </si>
  <si>
    <t>NI</t>
  </si>
  <si>
    <t>NWN</t>
  </si>
  <si>
    <t>One Gas INC</t>
  </si>
  <si>
    <t>OGS</t>
  </si>
  <si>
    <t>SWX</t>
  </si>
  <si>
    <t>SR</t>
  </si>
  <si>
    <t>Delta Natural Gas Company  -  No longer publicly traded.  Peoples Natural Gas acquired Delta.</t>
  </si>
  <si>
    <t>Gas Natural, Inc. - Not publicly traded.  Recently acquired (June 2017) by Black Rock Assets Global Energy &amp; Power.</t>
  </si>
  <si>
    <t>UGI Corporation  -  Gas distribution utility operations too small (27%).  Propane distribution 35% Amerigas.</t>
  </si>
  <si>
    <t>WGL Holdings - Currently merged with AtlaGas Ltd.</t>
  </si>
  <si>
    <t>Companies added to the study last year &gt;</t>
  </si>
  <si>
    <t xml:space="preserve">Black Hills Corporation - 84% of their customers are provided gas distribtuion and 16% are provided electric services.  Serve gas customers in Arkansas, Colorado, Iowa, Kansas, Nebraska, and Wyoming.  </t>
  </si>
  <si>
    <t>CenterPoint Energy Inc - 64% of their customers are provided gas distribtuion and 36% are provided electric services.  This company merged with Vectren Corp. in early 2019 but will be used for our purposes.</t>
  </si>
  <si>
    <t>CMS Energy Corporation - 50% of their customers are provided gas distribution and 50% are provided electric services.</t>
  </si>
  <si>
    <t>MGE Energy Inc. - 51% of their customers are provided gas distribution and 49% are provided electric services.</t>
  </si>
  <si>
    <t>WEC Energy Group - 64% of their customers receive gas distribution as well as electric service</t>
  </si>
  <si>
    <t>Companies to consider in the study &gt;</t>
  </si>
  <si>
    <t xml:space="preserve">Chesapeake Utilities - Regulated business 67%.  Electricity in Florida.    Regulated gas in Delaware, Maryland &amp; Florida.  43% of their business income is associated with unregulated propane distribution.   </t>
  </si>
  <si>
    <t>Natural Gas Utility Distribution</t>
  </si>
  <si>
    <t>Spire Inc / Laclede Group Inc</t>
  </si>
  <si>
    <t>Electric Utility - West</t>
  </si>
  <si>
    <t>Electric Utility - Central</t>
  </si>
  <si>
    <t xml:space="preserve">Risk Free Rate (Rf) </t>
  </si>
  <si>
    <t>Southwest Gas Holdings, Inc</t>
  </si>
  <si>
    <t xml:space="preserve">Northwest Natural Holding Company </t>
  </si>
  <si>
    <t>Three Stage Ex Ante  Version 1  (1) (2)</t>
  </si>
  <si>
    <t>Three Stage Ex Ante  Version 2   (1) (2)</t>
  </si>
  <si>
    <t>CAPM - Ex Ante, Three Stage - V1</t>
  </si>
  <si>
    <t>CAPM - Ex Ante, Three Stage - V2</t>
  </si>
  <si>
    <t>Empirical CAPM - Ex Ante, Three Stage - V1</t>
  </si>
  <si>
    <t>Empirical CAPM - Ex Ante, Three Stage - V2</t>
  </si>
  <si>
    <t>NOPAT CASH FLOW MULTIPLE &amp; EQUITY RATE (LT 26-28 Yr Projected VL</t>
  </si>
  <si>
    <t xml:space="preserve">(8) KROLL, Cost of Capital Navigator. (2023). </t>
  </si>
  <si>
    <t>Mean</t>
  </si>
  <si>
    <t>Federal Reserve Bank of Philadelphia  /Survey of Professional Forecasters  Mean (3)</t>
  </si>
  <si>
    <t xml:space="preserve">S&amp;P Rating </t>
  </si>
  <si>
    <t>Corporate 4th Qtr Avg</t>
  </si>
  <si>
    <t>Utility 4th Qtr Avg</t>
  </si>
  <si>
    <t>A market to book ratio over one would be an indication of obsolescence.</t>
  </si>
  <si>
    <t>S&amp;P Global Market Intelligence (9)</t>
  </si>
  <si>
    <t xml:space="preserve">(1) &amp; (2) Three Stage Dividend Growth Model, S&amp;P 500.  The Three Stage Ex Ante calculations were performed by Minnesota and Montana.  The Equity risk premiums are shown above.  </t>
  </si>
  <si>
    <t>(3) Implied Equity Risk Premium on January 5, 2023 as determined by Dr. Aswath Damodaran</t>
  </si>
  <si>
    <t>http://pages.stern.nyu.edu/~adamodar/New_Home_Page/datacurrent.html</t>
  </si>
  <si>
    <t>https://www.richmondfed.org/research/national_economy/cfo_survey</t>
  </si>
  <si>
    <t>https://papers.ssrn.com/sol3/papers.cfm?abstract_id=3803990</t>
  </si>
  <si>
    <t>https://www.bvresources.com/products/faqs/cost-of-capital-professional</t>
  </si>
  <si>
    <t xml:space="preserve">(9) S&amp;P Global Market Intelligence ( Jan. 2023). </t>
  </si>
  <si>
    <t>https://simplywall.st/stocks/us/transportation</t>
  </si>
  <si>
    <t>Empirical CAPM - S&amp;P Global Market</t>
  </si>
  <si>
    <t>CAPM - S&amp;P Global Market</t>
  </si>
  <si>
    <t>Harmonic Mean</t>
  </si>
  <si>
    <t>Damodaran Implied ERP Ex Ante   Trailing 12 mo Cash Yield (3)</t>
  </si>
  <si>
    <t>Damodaran Implied ERP Ex Ante   Net Cash Yield (3)</t>
  </si>
  <si>
    <t>Damodaran Implied ERP Ex Ante   Norm. Earnings &amp; Payout (3)</t>
  </si>
  <si>
    <t>KROLL Ex Post  - ERP Historical (8)</t>
  </si>
  <si>
    <t>KROLL Ex Post - ERP Supply Side (8)</t>
  </si>
  <si>
    <t>KROLL Ex Ante - ERP Conditional (8)</t>
  </si>
  <si>
    <t>CAPM - Ex Ante  Damodaran 12 Mo Cash Yield</t>
  </si>
  <si>
    <t>CAPM - Ex Ante  Damodaran Net Cash Yield</t>
  </si>
  <si>
    <t>CAPM - Ex Ante  Damodaran NEP</t>
  </si>
  <si>
    <t>CAPM - Ex Post KROLL ERP Historical</t>
  </si>
  <si>
    <t>CAPM - Ex Post  KROLL ERP Supply Side</t>
  </si>
  <si>
    <t>CAPM - Ex Ante  KROLL ERP Conditional</t>
  </si>
  <si>
    <t>Empirical CAPM - Ex Ante  Damodaran 12 Mo Cash Yield</t>
  </si>
  <si>
    <t>Empirical CAPM - Ex Ante  Damodaran Net Cash Yield</t>
  </si>
  <si>
    <t>Empirical CAPM - Ex Ante  Damodaran NEP</t>
  </si>
  <si>
    <t>Empirical CAPM - Ex Post KROLL ERP Historical</t>
  </si>
  <si>
    <t>Empirical CAPM - Ex Post  KROLL ERP Supply Side</t>
  </si>
  <si>
    <t>Empirical CAPM - Ex Ante  KROLL ERP Conditional</t>
  </si>
  <si>
    <t>Damodaran Implied ERP Ex Ante   Avg CF Yield Last 10 Yrs (3)</t>
  </si>
  <si>
    <t>P. Fernandez, T. Garcia de Santos &amp; J.F.Acin  (5)</t>
  </si>
  <si>
    <t xml:space="preserve">(5) Fernandez, P., Garcia de Santos, T., &amp; Acin, J. F. (2022). Survey: Market Risk Premium and Risk-Free Rate Used for 95 Countries in 2022. 1591 US ERP only respondents.  SSRN Electronic Journal. </t>
  </si>
  <si>
    <t xml:space="preserve">(4) The CFO Survey (2022). Data &amp; Results December 2, 2022. Mean average annual S&amp;P return over next ten years (8.5%) less annual yield on 10-year Treasury Bonds. </t>
  </si>
  <si>
    <t>CAPM - Ex Ante  Damodaran Avg CF Yield Last 10 Yrs</t>
  </si>
  <si>
    <t>Empirical CAPM - Ex Ante  Damodaran Avg CF Yield Last 10 Yrs</t>
  </si>
  <si>
    <t>The market yield on 30 yerar US Treasury  Dec 30, 2022</t>
  </si>
  <si>
    <t xml:space="preserve">Board of Governors of the Federal Reserve System, Economic projections of Federal Reserve Board members and Federal Reserve Bank presidents under their individual assessments of projected appropriate monetary policy. December 2022  </t>
  </si>
  <si>
    <t>https://www.federalreserve.gov/monetarypolicy/files/fomcprojtabl20221214.pdf</t>
  </si>
  <si>
    <t>World Bank Group Flagship Report, Global Economic Prospects. January 2023. Page 4.</t>
  </si>
  <si>
    <t>The Trading Economics projects the U.S. GDP annual growth rate for 2025</t>
  </si>
  <si>
    <t xml:space="preserve">Trading Economics, United States Full Year GDP Growth Rate Forecast  </t>
  </si>
  <si>
    <t xml:space="preserve">The Economist Intelligence Unit. July 21, 2022  </t>
  </si>
  <si>
    <t>http://country.eiu.com/article.aspx?articleid=1652314548&amp;Country=United+States&amp;topic=Economy&amp;subtopic=Long-term+outlook&amp;subsubtopic=Summary</t>
  </si>
  <si>
    <t>To calculate the inflation rate, compare the inflation-indexed securities to the non-inflation indexed securities. The difference between the securities (using the 10-year, 20-year, and 30- year constant securities) provides the inflation rate.</t>
  </si>
  <si>
    <t>Congressional Budget Office  Average % change Yr to Yr  2023-2033  (4)</t>
  </si>
  <si>
    <t xml:space="preserve">Congressional Budget Office Real Economic Projections (4)  </t>
  </si>
  <si>
    <t>(4)  Budget Office, The Budget and Economic Outlook: 2023 to 2033, Table 2-1  and 2023 to 2033, Table C-1  See bellow.</t>
  </si>
  <si>
    <t>https://www.cbo.gov/system/files/2021-02/56970-Outlook.p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</si>
</sst>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 #,##0.0000_);_(* \(#,##0.0000\);_(* &quot;-&quot;??_);_(@_)"/>
    <numFmt numFmtId="167" formatCode="0.000"/>
    <numFmt numFmtId="168" formatCode="_(* #,##0.000_);_(* \(#,##0.000\);_(* &quot;-&quot;??_);_(@_)"/>
    <numFmt numFmtId="169" formatCode="0.000%"/>
    <numFmt numFmtId="170" formatCode="_(&quot;$&quot;* #,##0.0_);_(&quot;$&quot;* \(#,##0.0\);_(&quot;$&quot;* &quot;-&quot;??_);_(@_)"/>
    <numFmt numFmtId="171" formatCode="0.0000%"/>
  </numFmts>
  <fonts count="71">
    <font>
      <sz val="11"/>
      <color theme="1"/>
      <name val="Calibri"/>
      <family val="2"/>
      <scheme val="minor"/>
    </font>
    <font>
      <sz val="11"/>
      <color theme="1"/>
      <name val="Calibri"/>
      <family val="2"/>
      <scheme val="minor"/>
    </font>
    <font>
      <b/>
      <sz val="12"/>
      <color theme="1"/>
      <name val="Calibri"/>
      <family val="2"/>
      <scheme val="minor"/>
    </font>
    <font>
      <b/>
      <sz val="11"/>
      <color theme="1"/>
      <name val="Helvetica Narrow Bold"/>
      <family val="2"/>
    </font>
    <font>
      <sz val="12"/>
      <color theme="1"/>
      <name val="Calibri"/>
      <family val="2"/>
      <scheme val="minor"/>
    </font>
    <font>
      <b/>
      <sz val="14"/>
      <color theme="1"/>
      <name val="Calibri"/>
      <family val="2"/>
      <scheme val="minor"/>
    </font>
    <font>
      <sz val="14"/>
      <color theme="1"/>
      <name val="Calibri"/>
      <family val="2"/>
      <scheme val="minor"/>
    </font>
    <font>
      <b/>
      <sz val="22"/>
      <color theme="1"/>
      <name val="Georgia"/>
      <family val="1"/>
    </font>
    <font>
      <sz val="11"/>
      <color theme="1"/>
      <name val="Georgia"/>
      <family val="1"/>
    </font>
    <font>
      <b/>
      <i/>
      <sz val="22"/>
      <color theme="1"/>
      <name val="Georgia"/>
      <family val="1"/>
    </font>
    <font>
      <i/>
      <sz val="11"/>
      <color theme="1"/>
      <name val="Georgia"/>
      <family val="1"/>
    </font>
    <font>
      <b/>
      <sz val="11"/>
      <color theme="1"/>
      <name val="Palatino Roman"/>
      <family val="1"/>
    </font>
    <font>
      <sz val="11"/>
      <color theme="1"/>
      <name val="Palatino Roman"/>
      <family val="1"/>
    </font>
    <font>
      <b/>
      <sz val="26"/>
      <color theme="1"/>
      <name val="Calibri"/>
      <family val="2"/>
      <scheme val="minor"/>
    </font>
    <font>
      <sz val="26"/>
      <color theme="1"/>
      <name val="Calibri"/>
      <family val="2"/>
      <scheme val="minor"/>
    </font>
    <font>
      <b/>
      <sz val="11"/>
      <name val="Calibri"/>
      <family val="2"/>
      <scheme val="minor"/>
    </font>
    <font>
      <sz val="9"/>
      <color indexed="81"/>
      <name val="Tahoma"/>
      <family val="2"/>
    </font>
    <font>
      <b/>
      <sz val="9"/>
      <color indexed="81"/>
      <name val="Tahoma"/>
      <family val="2"/>
    </font>
    <font>
      <i/>
      <sz val="11"/>
      <color theme="1"/>
      <name val="Calibri"/>
      <family val="2"/>
      <scheme val="minor"/>
    </font>
    <font>
      <sz val="12"/>
      <name val="TIMES"/>
    </font>
    <font>
      <u/>
      <sz val="11"/>
      <color theme="10"/>
      <name val="Calibri"/>
      <family val="2"/>
      <scheme val="minor"/>
    </font>
    <font>
      <sz val="11"/>
      <color theme="1"/>
      <name val="Microsoft GothicNeo"/>
      <family val="2"/>
      <charset val="129"/>
    </font>
    <font>
      <sz val="11"/>
      <name val="Microsoft GothicNeo"/>
      <family val="2"/>
      <charset val="129"/>
    </font>
    <font>
      <b/>
      <sz val="11"/>
      <color theme="1"/>
      <name val="Microsoft GothicNeo"/>
      <family val="2"/>
      <charset val="129"/>
    </font>
    <font>
      <b/>
      <sz val="11"/>
      <name val="Microsoft GothicNeo"/>
      <family val="2"/>
      <charset val="129"/>
    </font>
    <font>
      <b/>
      <sz val="18"/>
      <color theme="1"/>
      <name val="Microsoft GothicNeo"/>
      <family val="2"/>
      <charset val="129"/>
    </font>
    <font>
      <b/>
      <sz val="16"/>
      <color theme="1"/>
      <name val="Microsoft GothicNeo"/>
      <family val="2"/>
      <charset val="129"/>
    </font>
    <font>
      <b/>
      <sz val="12"/>
      <color indexed="8"/>
      <name val="Microsoft GothicNeo"/>
      <family val="2"/>
      <charset val="129"/>
    </font>
    <font>
      <b/>
      <sz val="11"/>
      <color indexed="8"/>
      <name val="Microsoft GothicNeo"/>
      <family val="2"/>
      <charset val="129"/>
    </font>
    <font>
      <b/>
      <sz val="11"/>
      <color rgb="FFFF0000"/>
      <name val="Microsoft GothicNeo"/>
      <family val="2"/>
      <charset val="129"/>
    </font>
    <font>
      <b/>
      <sz val="14"/>
      <color theme="1"/>
      <name val="Microsoft GothicNeo"/>
      <family val="2"/>
      <charset val="129"/>
    </font>
    <font>
      <b/>
      <sz val="10"/>
      <color theme="1"/>
      <name val="Microsoft GothicNeo"/>
      <family val="2"/>
      <charset val="129"/>
    </font>
    <font>
      <sz val="9"/>
      <color theme="1"/>
      <name val="Microsoft GothicNeo"/>
      <family val="2"/>
      <charset val="129"/>
    </font>
    <font>
      <sz val="10"/>
      <color theme="1"/>
      <name val="Microsoft GothicNeo"/>
      <family val="2"/>
      <charset val="129"/>
    </font>
    <font>
      <i/>
      <sz val="9"/>
      <color theme="1"/>
      <name val="Microsoft GothicNeo"/>
      <family val="2"/>
      <charset val="129"/>
    </font>
    <font>
      <b/>
      <sz val="9"/>
      <color theme="1"/>
      <name val="Microsoft GothicNeo"/>
      <family val="2"/>
      <charset val="129"/>
    </font>
    <font>
      <b/>
      <sz val="12"/>
      <color theme="1"/>
      <name val="Microsoft GothicNeo"/>
      <family val="2"/>
      <charset val="129"/>
    </font>
    <font>
      <b/>
      <i/>
      <sz val="10"/>
      <color theme="1"/>
      <name val="Microsoft GothicNeo"/>
      <family val="2"/>
      <charset val="129"/>
    </font>
    <font>
      <sz val="16"/>
      <color theme="1"/>
      <name val="Microsoft GothicNeo"/>
      <family val="2"/>
      <charset val="129"/>
    </font>
    <font>
      <sz val="12"/>
      <color theme="1"/>
      <name val="Microsoft GothicNeo"/>
      <family val="2"/>
      <charset val="129"/>
    </font>
    <font>
      <b/>
      <sz val="12"/>
      <name val="Microsoft GothicNeo"/>
      <family val="2"/>
      <charset val="129"/>
    </font>
    <font>
      <b/>
      <i/>
      <u/>
      <sz val="11"/>
      <color theme="1"/>
      <name val="Microsoft GothicNeo"/>
      <family val="2"/>
      <charset val="129"/>
    </font>
    <font>
      <b/>
      <i/>
      <sz val="11"/>
      <color theme="1"/>
      <name val="Microsoft GothicNeo"/>
      <family val="2"/>
      <charset val="129"/>
    </font>
    <font>
      <i/>
      <sz val="10"/>
      <color theme="1"/>
      <name val="Microsoft GothicNeo"/>
      <family val="2"/>
      <charset val="129"/>
    </font>
    <font>
      <b/>
      <sz val="16"/>
      <name val="Microsoft GothicNeo"/>
      <family val="2"/>
      <charset val="129"/>
    </font>
    <font>
      <b/>
      <sz val="16"/>
      <color rgb="FFFF0000"/>
      <name val="Microsoft GothicNeo"/>
      <family val="2"/>
      <charset val="129"/>
    </font>
    <font>
      <i/>
      <sz val="11"/>
      <color theme="1"/>
      <name val="Microsoft GothicNeo"/>
      <family val="2"/>
      <charset val="129"/>
    </font>
    <font>
      <sz val="12"/>
      <color rgb="FFFF0000"/>
      <name val="Microsoft GothicNeo"/>
      <family val="2"/>
      <charset val="129"/>
    </font>
    <font>
      <b/>
      <sz val="12"/>
      <color rgb="FF0000CC"/>
      <name val="Microsoft GothicNeo"/>
      <family val="2"/>
      <charset val="129"/>
    </font>
    <font>
      <b/>
      <sz val="14"/>
      <name val="Microsoft GothicNeo"/>
      <family val="2"/>
      <charset val="129"/>
    </font>
    <font>
      <u/>
      <sz val="11"/>
      <color theme="10"/>
      <name val="Microsoft GothicNeo"/>
      <family val="2"/>
      <charset val="129"/>
    </font>
    <font>
      <sz val="10"/>
      <name val="Microsoft GothicNeo"/>
      <family val="2"/>
      <charset val="129"/>
    </font>
    <font>
      <b/>
      <sz val="12"/>
      <color rgb="FFFF0000"/>
      <name val="Microsoft GothicNeo"/>
      <family val="2"/>
      <charset val="129"/>
    </font>
    <font>
      <b/>
      <sz val="14"/>
      <color rgb="FFFF0000"/>
      <name val="Microsoft GothicNeo"/>
      <family val="2"/>
      <charset val="129"/>
    </font>
    <font>
      <b/>
      <sz val="11"/>
      <color theme="1"/>
      <name val="Calibri"/>
      <family val="2"/>
      <scheme val="minor"/>
    </font>
    <font>
      <sz val="14"/>
      <color theme="1"/>
      <name val="Microsoft GothicNeo"/>
      <family val="2"/>
      <charset val="129"/>
    </font>
    <font>
      <sz val="11"/>
      <color rgb="FFFF0000"/>
      <name val="Microsoft GothicNeo"/>
      <family val="2"/>
      <charset val="129"/>
    </font>
    <font>
      <sz val="18"/>
      <color theme="1"/>
      <name val="Microsoft GothicNeo"/>
      <family val="2"/>
      <charset val="129"/>
    </font>
    <font>
      <sz val="20"/>
      <color theme="1"/>
      <name val="Microsoft GothicNeo"/>
      <family val="2"/>
      <charset val="129"/>
    </font>
    <font>
      <b/>
      <sz val="20"/>
      <color theme="1"/>
      <name val="Microsoft GothicNeo"/>
      <family val="2"/>
      <charset val="129"/>
    </font>
    <font>
      <b/>
      <sz val="11"/>
      <color indexed="81"/>
      <name val="Tahoma"/>
      <family val="2"/>
    </font>
    <font>
      <sz val="11"/>
      <color indexed="81"/>
      <name val="Tahoma"/>
      <family val="2"/>
    </font>
    <font>
      <sz val="12"/>
      <color rgb="FF000000"/>
      <name val="Microsoft GothicNeo"/>
      <family val="2"/>
      <charset val="129"/>
    </font>
    <font>
      <b/>
      <i/>
      <sz val="14"/>
      <color theme="1"/>
      <name val="Calibri"/>
      <family val="2"/>
      <scheme val="minor"/>
    </font>
    <font>
      <u/>
      <sz val="11"/>
      <color rgb="FF0000CC"/>
      <name val="Calibri"/>
      <family val="2"/>
      <scheme val="minor"/>
    </font>
    <font>
      <sz val="11"/>
      <name val="Calibri"/>
      <family val="2"/>
      <scheme val="minor"/>
    </font>
    <font>
      <b/>
      <sz val="9"/>
      <name val="Microsoft GothicNeo"/>
      <family val="2"/>
      <charset val="129"/>
    </font>
    <font>
      <b/>
      <i/>
      <sz val="18"/>
      <color rgb="FF0000CC"/>
      <name val="Microsoft GothicNeo"/>
      <family val="2"/>
      <charset val="129"/>
    </font>
    <font>
      <b/>
      <i/>
      <sz val="18"/>
      <name val="Microsoft GothicNeo"/>
      <family val="2"/>
      <charset val="129"/>
    </font>
    <font>
      <sz val="12"/>
      <color indexed="81"/>
      <name val="Tahoma"/>
      <family val="2"/>
    </font>
    <font>
      <b/>
      <sz val="18"/>
      <name val="Microsoft GothicNeo"/>
      <family val="2"/>
      <charset val="129"/>
    </font>
  </fonts>
  <fills count="5">
    <fill>
      <patternFill patternType="none"/>
    </fill>
    <fill>
      <patternFill patternType="gray125"/>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39">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20" fillId="0" borderId="0" applyNumberFormat="0" applyFill="0" applyBorder="0" applyAlignment="0" applyProtection="0"/>
  </cellStyleXfs>
  <cellXfs count="465">
    <xf numFmtId="0" fontId="0" fillId="0" borderId="0" xfId="0"/>
    <xf numFmtId="0" fontId="2" fillId="0" borderId="0" xfId="0" applyFont="1"/>
    <xf numFmtId="0" fontId="3" fillId="0" borderId="0" xfId="0" applyFont="1"/>
    <xf numFmtId="164" fontId="3" fillId="0" borderId="0" xfId="1" applyNumberFormat="1" applyFont="1"/>
    <xf numFmtId="0" fontId="4" fillId="0" borderId="0" xfId="0" applyFont="1"/>
    <xf numFmtId="0" fontId="2" fillId="0" borderId="0" xfId="0" applyFont="1" applyAlignment="1">
      <alignment horizontal="center"/>
    </xf>
    <xf numFmtId="0" fontId="7" fillId="0" borderId="0" xfId="0" applyFont="1" applyAlignment="1">
      <alignment horizontal="center"/>
    </xf>
    <xf numFmtId="0" fontId="8"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3" fontId="2" fillId="0" borderId="0" xfId="0" applyNumberFormat="1" applyFont="1"/>
    <xf numFmtId="0" fontId="18" fillId="0" borderId="0" xfId="0" applyFont="1"/>
    <xf numFmtId="167" fontId="15" fillId="2" borderId="0" xfId="0" applyNumberFormat="1" applyFont="1" applyFill="1" applyAlignment="1">
      <alignment horizontal="center"/>
    </xf>
    <xf numFmtId="0" fontId="21" fillId="0" borderId="0" xfId="0" applyFont="1"/>
    <xf numFmtId="0" fontId="21" fillId="0" borderId="0" xfId="0" applyFont="1" applyAlignment="1">
      <alignment horizontal="center"/>
    </xf>
    <xf numFmtId="0" fontId="23" fillId="0" borderId="0" xfId="0" applyFont="1" applyAlignment="1">
      <alignment horizontal="right"/>
    </xf>
    <xf numFmtId="43" fontId="24" fillId="0" borderId="0" xfId="1" applyFont="1" applyAlignment="1">
      <alignment horizontal="right" vertical="center"/>
    </xf>
    <xf numFmtId="43" fontId="24" fillId="0" borderId="0" xfId="1" applyFont="1" applyFill="1" applyAlignment="1">
      <alignment horizontal="right" vertical="center"/>
    </xf>
    <xf numFmtId="43" fontId="23" fillId="0" borderId="0" xfId="1" applyFont="1" applyFill="1" applyAlignment="1">
      <alignment horizontal="right"/>
    </xf>
    <xf numFmtId="43" fontId="23" fillId="0" borderId="0" xfId="1" applyFont="1" applyFill="1" applyAlignment="1">
      <alignment horizontal="center"/>
    </xf>
    <xf numFmtId="43" fontId="23" fillId="0" borderId="0" xfId="1" applyFont="1" applyFill="1" applyAlignment="1">
      <alignment horizontal="center" vertical="center"/>
    </xf>
    <xf numFmtId="43" fontId="23" fillId="0" borderId="0" xfId="1" applyFont="1" applyFill="1" applyBorder="1" applyAlignment="1">
      <alignment horizontal="center" vertical="center"/>
    </xf>
    <xf numFmtId="43" fontId="23" fillId="0" borderId="0" xfId="1" applyFont="1" applyFill="1"/>
    <xf numFmtId="164" fontId="23" fillId="0" borderId="0" xfId="1" applyNumberFormat="1" applyFont="1" applyFill="1"/>
    <xf numFmtId="0" fontId="25" fillId="0" borderId="0" xfId="0" applyFont="1"/>
    <xf numFmtId="0" fontId="26" fillId="0" borderId="0" xfId="0" applyFont="1"/>
    <xf numFmtId="0" fontId="27" fillId="0" borderId="0" xfId="0" applyFont="1"/>
    <xf numFmtId="0" fontId="28" fillId="0" borderId="0" xfId="0" applyFont="1"/>
    <xf numFmtId="0" fontId="29" fillId="0" borderId="0" xfId="0" applyFont="1"/>
    <xf numFmtId="0" fontId="30" fillId="0" borderId="16" xfId="0" applyFont="1" applyBorder="1"/>
    <xf numFmtId="0" fontId="21" fillId="0" borderId="2" xfId="0" applyFont="1" applyBorder="1"/>
    <xf numFmtId="0" fontId="29" fillId="0" borderId="2" xfId="0" applyFont="1" applyBorder="1"/>
    <xf numFmtId="0" fontId="30" fillId="0" borderId="0" xfId="0" applyFont="1"/>
    <xf numFmtId="0" fontId="26" fillId="0" borderId="0" xfId="0" applyFont="1" applyAlignment="1">
      <alignment horizontal="center"/>
    </xf>
    <xf numFmtId="0" fontId="31" fillId="0" borderId="2" xfId="0" applyFont="1" applyBorder="1" applyAlignment="1">
      <alignment horizontal="center"/>
    </xf>
    <xf numFmtId="0" fontId="32" fillId="0" borderId="2" xfId="0" applyFont="1" applyBorder="1" applyAlignment="1">
      <alignment horizontal="center"/>
    </xf>
    <xf numFmtId="0" fontId="23" fillId="0" borderId="0" xfId="0" applyFont="1" applyAlignment="1">
      <alignment horizontal="center"/>
    </xf>
    <xf numFmtId="0" fontId="31" fillId="0" borderId="0" xfId="0" applyFont="1" applyAlignment="1">
      <alignment horizontal="center"/>
    </xf>
    <xf numFmtId="0" fontId="23" fillId="0" borderId="2" xfId="0" applyFont="1" applyBorder="1" applyAlignment="1">
      <alignment horizontal="center"/>
    </xf>
    <xf numFmtId="0" fontId="33" fillId="0" borderId="2" xfId="0" applyFont="1" applyBorder="1" applyAlignment="1">
      <alignment horizontal="center"/>
    </xf>
    <xf numFmtId="0" fontId="32" fillId="0" borderId="1" xfId="0" applyFont="1" applyBorder="1" applyAlignment="1">
      <alignment horizontal="center"/>
    </xf>
    <xf numFmtId="0" fontId="34" fillId="0" borderId="1" xfId="0" applyFont="1" applyBorder="1" applyAlignment="1">
      <alignment horizontal="center"/>
    </xf>
    <xf numFmtId="0" fontId="32" fillId="0" borderId="0" xfId="0" applyFont="1" applyAlignment="1">
      <alignment horizontal="center"/>
    </xf>
    <xf numFmtId="0" fontId="35" fillId="0" borderId="2" xfId="0" applyFont="1" applyBorder="1" applyAlignment="1">
      <alignment horizontal="center"/>
    </xf>
    <xf numFmtId="0" fontId="37" fillId="0" borderId="1" xfId="0" applyFont="1" applyBorder="1" applyAlignment="1">
      <alignment horizontal="center"/>
    </xf>
    <xf numFmtId="0" fontId="23" fillId="0" borderId="0" xfId="0" applyFont="1"/>
    <xf numFmtId="166" fontId="24" fillId="0" borderId="0" xfId="1" applyNumberFormat="1" applyFont="1" applyFill="1" applyAlignment="1">
      <alignment horizontal="center"/>
    </xf>
    <xf numFmtId="166" fontId="24" fillId="0" borderId="0" xfId="1" applyNumberFormat="1" applyFont="1" applyFill="1"/>
    <xf numFmtId="0" fontId="23" fillId="0" borderId="4" xfId="0" applyFont="1" applyBorder="1"/>
    <xf numFmtId="0" fontId="24" fillId="0" borderId="0" xfId="0" applyFont="1" applyAlignment="1">
      <alignment horizontal="center" vertical="center"/>
    </xf>
    <xf numFmtId="166" fontId="23" fillId="0" borderId="0" xfId="1" applyNumberFormat="1" applyFont="1" applyFill="1" applyAlignment="1">
      <alignment horizontal="center"/>
    </xf>
    <xf numFmtId="0" fontId="26" fillId="0" borderId="0" xfId="0" applyFont="1" applyAlignment="1">
      <alignment horizontal="right"/>
    </xf>
    <xf numFmtId="10" fontId="23" fillId="0" borderId="0" xfId="2" applyNumberFormat="1" applyFont="1" applyFill="1" applyAlignment="1">
      <alignment horizontal="center" vertical="center"/>
    </xf>
    <xf numFmtId="10" fontId="23" fillId="0" borderId="0" xfId="2" applyNumberFormat="1" applyFont="1" applyFill="1" applyBorder="1" applyAlignment="1">
      <alignment horizontal="center" vertical="center"/>
    </xf>
    <xf numFmtId="10" fontId="24" fillId="0" borderId="0" xfId="2" applyNumberFormat="1" applyFont="1" applyAlignment="1">
      <alignment horizontal="right" vertical="center"/>
    </xf>
    <xf numFmtId="10" fontId="24" fillId="0" borderId="0" xfId="2" applyNumberFormat="1" applyFont="1" applyFill="1" applyAlignment="1">
      <alignment horizontal="center" vertical="center"/>
    </xf>
    <xf numFmtId="10" fontId="24" fillId="0" borderId="0" xfId="2" applyNumberFormat="1" applyFont="1" applyFill="1" applyAlignment="1">
      <alignment horizontal="right"/>
    </xf>
    <xf numFmtId="10" fontId="23" fillId="0" borderId="0" xfId="2" applyNumberFormat="1" applyFont="1" applyFill="1" applyAlignment="1">
      <alignment horizontal="right"/>
    </xf>
    <xf numFmtId="10" fontId="23" fillId="0" borderId="0" xfId="2" applyNumberFormat="1" applyFont="1" applyFill="1" applyAlignment="1">
      <alignment horizontal="center"/>
    </xf>
    <xf numFmtId="10" fontId="23" fillId="0" borderId="0" xfId="2" applyNumberFormat="1" applyFont="1" applyFill="1"/>
    <xf numFmtId="0" fontId="21" fillId="3" borderId="18" xfId="0" applyFont="1" applyFill="1" applyBorder="1" applyAlignment="1">
      <alignment horizontal="center"/>
    </xf>
    <xf numFmtId="0" fontId="21" fillId="3" borderId="20" xfId="0" applyFont="1" applyFill="1" applyBorder="1" applyAlignment="1">
      <alignment horizontal="center"/>
    </xf>
    <xf numFmtId="0" fontId="21" fillId="3" borderId="22" xfId="0" applyFont="1" applyFill="1" applyBorder="1" applyAlignment="1">
      <alignment horizontal="center"/>
    </xf>
    <xf numFmtId="2" fontId="40" fillId="0" borderId="0" xfId="0" applyNumberFormat="1" applyFont="1" applyAlignment="1">
      <alignment horizontal="center"/>
    </xf>
    <xf numFmtId="164" fontId="40" fillId="0" borderId="0" xfId="1" applyNumberFormat="1" applyFont="1" applyAlignment="1"/>
    <xf numFmtId="2" fontId="24" fillId="0" borderId="0" xfId="0" applyNumberFormat="1" applyFont="1" applyAlignment="1">
      <alignment horizontal="center"/>
    </xf>
    <xf numFmtId="0" fontId="36" fillId="0" borderId="0" xfId="0" applyFont="1"/>
    <xf numFmtId="43" fontId="26" fillId="0" borderId="0" xfId="1" applyFont="1" applyFill="1"/>
    <xf numFmtId="2" fontId="40" fillId="0" borderId="4" xfId="0" applyNumberFormat="1" applyFont="1" applyBorder="1" applyAlignment="1">
      <alignment horizontal="center"/>
    </xf>
    <xf numFmtId="10" fontId="24" fillId="0" borderId="0" xfId="2" applyNumberFormat="1" applyFont="1" applyFill="1" applyAlignment="1">
      <alignment horizontal="center"/>
    </xf>
    <xf numFmtId="0" fontId="21" fillId="0" borderId="2" xfId="0" applyFont="1" applyBorder="1" applyAlignment="1">
      <alignment horizontal="center"/>
    </xf>
    <xf numFmtId="0" fontId="33" fillId="0" borderId="17" xfId="0" applyFont="1" applyBorder="1" applyAlignment="1">
      <alignment horizontal="center"/>
    </xf>
    <xf numFmtId="0" fontId="26" fillId="0" borderId="0" xfId="0" applyFont="1" applyAlignment="1">
      <alignment horizontal="center" vertical="center"/>
    </xf>
    <xf numFmtId="2" fontId="23" fillId="0" borderId="0" xfId="0" applyNumberFormat="1" applyFont="1" applyAlignment="1">
      <alignment horizontal="center"/>
    </xf>
    <xf numFmtId="0" fontId="21" fillId="0" borderId="4" xfId="0" applyFont="1" applyBorder="1"/>
    <xf numFmtId="2" fontId="23" fillId="0" borderId="0" xfId="0" applyNumberFormat="1" applyFont="1" applyAlignment="1">
      <alignment horizontal="right"/>
    </xf>
    <xf numFmtId="10" fontId="23" fillId="0" borderId="0" xfId="0" applyNumberFormat="1" applyFont="1"/>
    <xf numFmtId="0" fontId="41" fillId="0" borderId="0" xfId="0" applyFont="1" applyAlignment="1">
      <alignment horizontal="center"/>
    </xf>
    <xf numFmtId="0" fontId="42" fillId="0" borderId="0" xfId="0" applyFont="1"/>
    <xf numFmtId="0" fontId="43" fillId="0" borderId="17" xfId="0" applyFont="1" applyBorder="1" applyAlignment="1">
      <alignment horizontal="center"/>
    </xf>
    <xf numFmtId="0" fontId="38" fillId="0" borderId="0" xfId="0" applyFont="1" applyAlignment="1">
      <alignment horizontal="right"/>
    </xf>
    <xf numFmtId="0" fontId="30" fillId="0" borderId="0" xfId="0" applyFont="1" applyAlignment="1">
      <alignment horizontal="center"/>
    </xf>
    <xf numFmtId="0" fontId="23" fillId="0" borderId="24" xfId="0" applyFont="1" applyBorder="1" applyAlignment="1">
      <alignment horizontal="center"/>
    </xf>
    <xf numFmtId="0" fontId="23" fillId="0" borderId="10" xfId="0" applyFont="1" applyBorder="1" applyAlignment="1">
      <alignment horizontal="center"/>
    </xf>
    <xf numFmtId="0" fontId="23" fillId="0" borderId="3" xfId="0" applyFont="1" applyBorder="1" applyAlignment="1">
      <alignment horizontal="center"/>
    </xf>
    <xf numFmtId="10" fontId="23" fillId="0" borderId="0" xfId="2" applyNumberFormat="1" applyFont="1"/>
    <xf numFmtId="10" fontId="23" fillId="0" borderId="0" xfId="1" applyNumberFormat="1" applyFont="1" applyFill="1"/>
    <xf numFmtId="10" fontId="45" fillId="0" borderId="0" xfId="2" applyNumberFormat="1" applyFont="1" applyFill="1" applyAlignment="1">
      <alignment horizontal="center"/>
    </xf>
    <xf numFmtId="164" fontId="23" fillId="0" borderId="0" xfId="1" applyNumberFormat="1" applyFont="1"/>
    <xf numFmtId="0" fontId="21" fillId="0" borderId="0" xfId="0" applyFont="1" applyAlignment="1">
      <alignment horizontal="left"/>
    </xf>
    <xf numFmtId="0" fontId="23" fillId="0" borderId="2" xfId="0" applyFont="1" applyBorder="1"/>
    <xf numFmtId="0" fontId="36" fillId="0" borderId="7" xfId="0" applyFont="1" applyBorder="1" applyAlignment="1">
      <alignment horizontal="center"/>
    </xf>
    <xf numFmtId="0" fontId="36" fillId="0" borderId="10" xfId="0" applyFont="1" applyBorder="1" applyAlignment="1">
      <alignment horizontal="center"/>
    </xf>
    <xf numFmtId="0" fontId="36" fillId="0" borderId="0" xfId="0" applyFont="1" applyAlignment="1">
      <alignment horizontal="center"/>
    </xf>
    <xf numFmtId="15" fontId="36" fillId="0" borderId="10" xfId="0" applyNumberFormat="1" applyFont="1" applyBorder="1" applyAlignment="1">
      <alignment horizontal="center"/>
    </xf>
    <xf numFmtId="15" fontId="36" fillId="0" borderId="0" xfId="0" applyNumberFormat="1" applyFont="1" applyAlignment="1">
      <alignment horizontal="center"/>
    </xf>
    <xf numFmtId="15" fontId="36" fillId="0" borderId="10" xfId="0" quotePrefix="1" applyNumberFormat="1" applyFont="1" applyBorder="1" applyAlignment="1">
      <alignment horizontal="center"/>
    </xf>
    <xf numFmtId="15" fontId="36" fillId="0" borderId="0" xfId="0" quotePrefix="1" applyNumberFormat="1" applyFont="1" applyAlignment="1">
      <alignment horizontal="center"/>
    </xf>
    <xf numFmtId="0" fontId="24" fillId="0" borderId="10" xfId="0" applyFont="1" applyBorder="1" applyAlignment="1">
      <alignment horizontal="center"/>
    </xf>
    <xf numFmtId="0" fontId="40" fillId="0" borderId="10" xfId="0" applyFont="1" applyBorder="1" applyAlignment="1">
      <alignment horizontal="center"/>
    </xf>
    <xf numFmtId="0" fontId="36" fillId="0" borderId="8" xfId="0" applyFont="1" applyBorder="1" applyAlignment="1">
      <alignment horizontal="center"/>
    </xf>
    <xf numFmtId="0" fontId="36" fillId="0" borderId="3" xfId="0" applyFont="1" applyBorder="1" applyAlignment="1">
      <alignment horizontal="center"/>
    </xf>
    <xf numFmtId="0" fontId="36" fillId="0" borderId="2" xfId="0" applyFont="1" applyBorder="1" applyAlignment="1">
      <alignment horizontal="center"/>
    </xf>
    <xf numFmtId="0" fontId="37" fillId="0" borderId="3" xfId="0" applyFont="1" applyBorder="1" applyAlignment="1">
      <alignment horizontal="center"/>
    </xf>
    <xf numFmtId="0" fontId="37" fillId="0" borderId="2" xfId="0" applyFont="1" applyBorder="1" applyAlignment="1">
      <alignment horizontal="center"/>
    </xf>
    <xf numFmtId="0" fontId="37" fillId="0" borderId="9" xfId="0" applyFont="1" applyBorder="1" applyAlignment="1">
      <alignment horizontal="center"/>
    </xf>
    <xf numFmtId="0" fontId="37" fillId="0" borderId="11" xfId="0" applyFont="1" applyBorder="1" applyAlignment="1">
      <alignment horizontal="center"/>
    </xf>
    <xf numFmtId="0" fontId="36" fillId="0" borderId="10" xfId="0" applyFont="1" applyBorder="1"/>
    <xf numFmtId="0" fontId="36" fillId="0" borderId="7" xfId="0" applyFont="1" applyBorder="1"/>
    <xf numFmtId="0" fontId="40" fillId="0" borderId="0" xfId="0" applyFont="1" applyAlignment="1">
      <alignment horizontal="center"/>
    </xf>
    <xf numFmtId="2" fontId="40" fillId="0" borderId="10" xfId="0" applyNumberFormat="1" applyFont="1" applyBorder="1" applyAlignment="1">
      <alignment horizontal="center"/>
    </xf>
    <xf numFmtId="0" fontId="40" fillId="0" borderId="7" xfId="0" applyFont="1" applyBorder="1"/>
    <xf numFmtId="0" fontId="36" fillId="0" borderId="8" xfId="0" applyFont="1" applyBorder="1"/>
    <xf numFmtId="3" fontId="40" fillId="0" borderId="2" xfId="0" applyNumberFormat="1" applyFont="1" applyBorder="1"/>
    <xf numFmtId="0" fontId="39" fillId="0" borderId="0" xfId="0" applyFont="1"/>
    <xf numFmtId="0" fontId="47" fillId="0" borderId="2" xfId="0" applyFont="1" applyBorder="1"/>
    <xf numFmtId="0" fontId="39" fillId="0" borderId="2" xfId="0" applyFont="1" applyBorder="1"/>
    <xf numFmtId="0" fontId="39" fillId="0" borderId="5" xfId="0" applyFont="1" applyBorder="1"/>
    <xf numFmtId="0" fontId="39" fillId="0" borderId="6" xfId="0" applyFont="1" applyBorder="1"/>
    <xf numFmtId="15" fontId="36" fillId="0" borderId="6" xfId="0" quotePrefix="1" applyNumberFormat="1" applyFont="1" applyBorder="1" applyAlignment="1">
      <alignment horizontal="center"/>
    </xf>
    <xf numFmtId="0" fontId="21" fillId="0" borderId="6" xfId="0" applyFont="1" applyBorder="1"/>
    <xf numFmtId="0" fontId="39" fillId="0" borderId="12" xfId="0" applyFont="1" applyBorder="1"/>
    <xf numFmtId="15" fontId="36" fillId="0" borderId="13" xfId="0" quotePrefix="1" applyNumberFormat="1" applyFont="1" applyBorder="1" applyAlignment="1">
      <alignment horizontal="center"/>
    </xf>
    <xf numFmtId="0" fontId="40" fillId="0" borderId="13" xfId="0" applyFont="1" applyBorder="1" applyAlignment="1">
      <alignment horizontal="center"/>
    </xf>
    <xf numFmtId="0" fontId="36" fillId="0" borderId="14" xfId="0" applyFont="1" applyBorder="1" applyAlignment="1">
      <alignment horizontal="center"/>
    </xf>
    <xf numFmtId="0" fontId="37" fillId="0" borderId="15" xfId="0" applyFont="1" applyBorder="1" applyAlignment="1">
      <alignment horizontal="center"/>
    </xf>
    <xf numFmtId="0" fontId="36" fillId="0" borderId="13" xfId="0" applyFont="1" applyBorder="1"/>
    <xf numFmtId="164" fontId="40" fillId="0" borderId="0" xfId="1" applyNumberFormat="1" applyFont="1" applyFill="1" applyBorder="1"/>
    <xf numFmtId="10" fontId="40" fillId="0" borderId="0" xfId="2" applyNumberFormat="1" applyFont="1" applyFill="1" applyBorder="1"/>
    <xf numFmtId="10" fontId="40" fillId="0" borderId="13" xfId="2" applyNumberFormat="1" applyFont="1" applyFill="1" applyBorder="1"/>
    <xf numFmtId="0" fontId="36" fillId="0" borderId="0" xfId="0" applyFont="1" applyAlignment="1">
      <alignment horizontal="right"/>
    </xf>
    <xf numFmtId="164" fontId="23" fillId="0" borderId="0" xfId="0" applyNumberFormat="1" applyFont="1"/>
    <xf numFmtId="10" fontId="36" fillId="0" borderId="0" xfId="0" applyNumberFormat="1" applyFont="1" applyAlignment="1">
      <alignment horizontal="right"/>
    </xf>
    <xf numFmtId="10" fontId="36" fillId="0" borderId="0" xfId="2" applyNumberFormat="1" applyFont="1" applyFill="1"/>
    <xf numFmtId="10" fontId="36" fillId="0" borderId="0" xfId="2" applyNumberFormat="1" applyFont="1"/>
    <xf numFmtId="2" fontId="21" fillId="0" borderId="0" xfId="0" applyNumberFormat="1" applyFont="1"/>
    <xf numFmtId="0" fontId="23" fillId="0" borderId="1" xfId="0" applyFont="1" applyBorder="1" applyAlignment="1">
      <alignment horizontal="center"/>
    </xf>
    <xf numFmtId="0" fontId="30" fillId="0" borderId="0" xfId="0" applyFont="1" applyAlignment="1">
      <alignment horizontal="right"/>
    </xf>
    <xf numFmtId="0" fontId="24" fillId="0" borderId="0" xfId="0" applyFont="1"/>
    <xf numFmtId="0" fontId="22" fillId="0" borderId="0" xfId="0" applyFont="1"/>
    <xf numFmtId="0" fontId="22" fillId="0" borderId="0" xfId="0" applyFont="1" applyAlignment="1">
      <alignment horizontal="left"/>
    </xf>
    <xf numFmtId="0" fontId="50" fillId="0" borderId="0" xfId="6" applyFont="1" applyFill="1" applyAlignment="1" applyProtection="1">
      <alignment horizontal="left" vertical="top"/>
    </xf>
    <xf numFmtId="0" fontId="22" fillId="0" borderId="0" xfId="0" applyFont="1" applyAlignment="1">
      <alignment horizontal="left" vertical="top"/>
    </xf>
    <xf numFmtId="0" fontId="50" fillId="0" borderId="0" xfId="6" applyFont="1" applyFill="1" applyAlignment="1" applyProtection="1"/>
    <xf numFmtId="0" fontId="22" fillId="0" borderId="0" xfId="0" applyFont="1" applyAlignment="1">
      <alignment vertical="top"/>
    </xf>
    <xf numFmtId="0" fontId="51" fillId="0" borderId="0" xfId="0" applyFont="1" applyAlignment="1">
      <alignment horizontal="left" vertical="top"/>
    </xf>
    <xf numFmtId="0" fontId="51" fillId="0" borderId="0" xfId="0" applyFont="1"/>
    <xf numFmtId="165" fontId="23" fillId="0" borderId="0" xfId="3" applyNumberFormat="1" applyFont="1" applyFill="1" applyAlignment="1">
      <alignment horizontal="center"/>
    </xf>
    <xf numFmtId="164" fontId="24" fillId="0" borderId="0" xfId="1" applyNumberFormat="1" applyFont="1" applyFill="1"/>
    <xf numFmtId="10" fontId="24" fillId="0" borderId="0" xfId="2" applyNumberFormat="1" applyFont="1" applyFill="1"/>
    <xf numFmtId="0" fontId="30" fillId="0" borderId="2" xfId="0" applyFont="1" applyBorder="1" applyAlignment="1">
      <alignment horizontal="center"/>
    </xf>
    <xf numFmtId="10" fontId="40" fillId="0" borderId="0" xfId="2" applyNumberFormat="1" applyFont="1" applyFill="1" applyAlignment="1">
      <alignment horizontal="center"/>
    </xf>
    <xf numFmtId="10" fontId="40" fillId="0" borderId="0" xfId="2" applyNumberFormat="1" applyFont="1" applyFill="1"/>
    <xf numFmtId="2" fontId="52" fillId="0" borderId="0" xfId="0" applyNumberFormat="1" applyFont="1" applyAlignment="1">
      <alignment horizontal="center"/>
    </xf>
    <xf numFmtId="2" fontId="36" fillId="0" borderId="2" xfId="0" applyNumberFormat="1" applyFont="1" applyBorder="1" applyAlignment="1">
      <alignment horizontal="center"/>
    </xf>
    <xf numFmtId="10" fontId="36" fillId="0" borderId="2" xfId="2" applyNumberFormat="1" applyFont="1" applyBorder="1"/>
    <xf numFmtId="10" fontId="36" fillId="0" borderId="0" xfId="0" applyNumberFormat="1" applyFont="1" applyAlignment="1">
      <alignment horizontal="center"/>
    </xf>
    <xf numFmtId="2" fontId="36" fillId="0" borderId="0" xfId="0" applyNumberFormat="1" applyFont="1" applyAlignment="1">
      <alignment horizontal="center"/>
    </xf>
    <xf numFmtId="0" fontId="40" fillId="0" borderId="0" xfId="0" applyFont="1"/>
    <xf numFmtId="0" fontId="36" fillId="0" borderId="0" xfId="0" applyFont="1" applyAlignment="1">
      <alignment horizontal="left"/>
    </xf>
    <xf numFmtId="10" fontId="24" fillId="0" borderId="4" xfId="2" applyNumberFormat="1" applyFont="1" applyFill="1" applyBorder="1" applyAlignment="1">
      <alignment horizontal="center"/>
    </xf>
    <xf numFmtId="10" fontId="21" fillId="0" borderId="0" xfId="0" applyNumberFormat="1" applyFont="1"/>
    <xf numFmtId="0" fontId="20" fillId="0" borderId="0" xfId="6"/>
    <xf numFmtId="0" fontId="23" fillId="0" borderId="0" xfId="0" applyFont="1" applyAlignment="1">
      <alignment horizontal="left"/>
    </xf>
    <xf numFmtId="0" fontId="53" fillId="0" borderId="2" xfId="0" applyFont="1" applyBorder="1"/>
    <xf numFmtId="0" fontId="0" fillId="0" borderId="2" xfId="0" applyBorder="1"/>
    <xf numFmtId="0" fontId="30" fillId="0" borderId="2" xfId="0" applyFont="1" applyBorder="1"/>
    <xf numFmtId="0" fontId="21" fillId="0" borderId="5" xfId="0" applyFont="1" applyBorder="1"/>
    <xf numFmtId="0" fontId="21" fillId="0" borderId="12" xfId="0" applyFont="1" applyBorder="1"/>
    <xf numFmtId="0" fontId="23" fillId="0" borderId="8" xfId="0" applyFont="1" applyBorder="1" applyAlignment="1">
      <alignment horizontal="center" vertical="center"/>
    </xf>
    <xf numFmtId="0" fontId="30" fillId="0" borderId="34" xfId="0" applyFont="1" applyBorder="1" applyAlignment="1">
      <alignment horizontal="center" vertical="center" wrapText="1"/>
    </xf>
    <xf numFmtId="0" fontId="30" fillId="0" borderId="16" xfId="0" applyFont="1" applyBorder="1" applyAlignment="1">
      <alignment horizontal="center" vertical="center"/>
    </xf>
    <xf numFmtId="0" fontId="30" fillId="0" borderId="16" xfId="0" applyFont="1" applyBorder="1" applyAlignment="1">
      <alignment horizontal="center" vertical="center" wrapText="1"/>
    </xf>
    <xf numFmtId="0" fontId="30" fillId="0" borderId="32" xfId="0" applyFont="1" applyBorder="1" applyAlignment="1">
      <alignment horizontal="center" vertical="center"/>
    </xf>
    <xf numFmtId="0" fontId="36" fillId="0" borderId="16" xfId="0" applyFont="1" applyBorder="1" applyAlignment="1">
      <alignment horizontal="center" vertical="center"/>
    </xf>
    <xf numFmtId="0" fontId="54" fillId="0" borderId="0" xfId="0" applyFont="1"/>
    <xf numFmtId="0" fontId="30" fillId="0" borderId="7" xfId="0" applyFont="1" applyBorder="1" applyAlignment="1">
      <alignment horizontal="center" vertical="center"/>
    </xf>
    <xf numFmtId="10" fontId="30" fillId="0" borderId="2" xfId="2" applyNumberFormat="1" applyFont="1" applyBorder="1" applyAlignment="1">
      <alignment horizontal="center" vertical="center"/>
    </xf>
    <xf numFmtId="0" fontId="36" fillId="0" borderId="2" xfId="0" applyFont="1" applyBorder="1" applyAlignment="1">
      <alignment horizontal="center" vertical="center"/>
    </xf>
    <xf numFmtId="0" fontId="53" fillId="0" borderId="33" xfId="0" applyFont="1" applyBorder="1"/>
    <xf numFmtId="0" fontId="21" fillId="0" borderId="27" xfId="0" applyFont="1" applyBorder="1"/>
    <xf numFmtId="0" fontId="21" fillId="0" borderId="26" xfId="0" applyFont="1" applyBorder="1"/>
    <xf numFmtId="0" fontId="36" fillId="0" borderId="29" xfId="0" applyFont="1" applyBorder="1"/>
    <xf numFmtId="0" fontId="36" fillId="0" borderId="31" xfId="0" applyFont="1" applyBorder="1"/>
    <xf numFmtId="10" fontId="40" fillId="0" borderId="25" xfId="2" applyNumberFormat="1" applyFont="1" applyFill="1" applyBorder="1" applyAlignment="1">
      <alignment horizontal="center"/>
    </xf>
    <xf numFmtId="0" fontId="36" fillId="0" borderId="20" xfId="0" applyFont="1" applyBorder="1"/>
    <xf numFmtId="10" fontId="40" fillId="0" borderId="26" xfId="2" applyNumberFormat="1" applyFont="1" applyFill="1" applyBorder="1" applyAlignment="1">
      <alignment horizontal="center"/>
    </xf>
    <xf numFmtId="0" fontId="36" fillId="0" borderId="22" xfId="0" applyFont="1" applyBorder="1"/>
    <xf numFmtId="0" fontId="36" fillId="0" borderId="1" xfId="0" applyFont="1" applyBorder="1"/>
    <xf numFmtId="10" fontId="40" fillId="0" borderId="27" xfId="2" applyNumberFormat="1" applyFont="1" applyFill="1" applyBorder="1" applyAlignment="1">
      <alignment horizontal="center"/>
    </xf>
    <xf numFmtId="10" fontId="40" fillId="0" borderId="26" xfId="2" applyNumberFormat="1" applyFont="1" applyBorder="1" applyAlignment="1">
      <alignment horizontal="center" vertical="center"/>
    </xf>
    <xf numFmtId="10" fontId="36" fillId="0" borderId="25" xfId="2" applyNumberFormat="1" applyFont="1" applyFill="1" applyBorder="1" applyAlignment="1">
      <alignment horizontal="center"/>
    </xf>
    <xf numFmtId="10" fontId="36" fillId="0" borderId="27" xfId="2" applyNumberFormat="1" applyFont="1" applyFill="1" applyBorder="1" applyAlignment="1">
      <alignment horizontal="center"/>
    </xf>
    <xf numFmtId="10" fontId="40" fillId="0" borderId="0" xfId="2" applyNumberFormat="1" applyFont="1" applyAlignment="1">
      <alignment horizontal="right" vertical="center"/>
    </xf>
    <xf numFmtId="10" fontId="36" fillId="0" borderId="0" xfId="2" applyNumberFormat="1" applyFont="1" applyFill="1" applyAlignment="1">
      <alignment horizontal="right"/>
    </xf>
    <xf numFmtId="0" fontId="36" fillId="0" borderId="0" xfId="0" applyFont="1" applyAlignment="1">
      <alignment horizontal="center" vertical="center"/>
    </xf>
    <xf numFmtId="0" fontId="24" fillId="0" borderId="25" xfId="0" applyFont="1" applyBorder="1" applyAlignment="1">
      <alignment horizontal="center"/>
    </xf>
    <xf numFmtId="0" fontId="24" fillId="0" borderId="27" xfId="0" applyFont="1" applyBorder="1" applyAlignment="1">
      <alignment horizontal="center"/>
    </xf>
    <xf numFmtId="44" fontId="40" fillId="0" borderId="0" xfId="3" applyFont="1" applyAlignment="1">
      <alignment horizontal="center"/>
    </xf>
    <xf numFmtId="165" fontId="23" fillId="0" borderId="0" xfId="0" applyNumberFormat="1" applyFont="1" applyAlignment="1">
      <alignment horizontal="center"/>
    </xf>
    <xf numFmtId="0" fontId="31" fillId="0" borderId="0" xfId="0" applyFont="1"/>
    <xf numFmtId="0" fontId="35" fillId="0" borderId="0" xfId="0" applyFont="1"/>
    <xf numFmtId="0" fontId="23" fillId="0" borderId="0" xfId="0" applyFont="1" applyAlignment="1">
      <alignment horizontal="right" vertical="center"/>
    </xf>
    <xf numFmtId="0" fontId="46" fillId="0" borderId="0" xfId="0" applyFont="1"/>
    <xf numFmtId="0" fontId="0" fillId="0" borderId="34" xfId="0" applyBorder="1"/>
    <xf numFmtId="10" fontId="40" fillId="0" borderId="16" xfId="2" applyNumberFormat="1" applyFont="1" applyFill="1" applyBorder="1"/>
    <xf numFmtId="0" fontId="21" fillId="0" borderId="32" xfId="0" applyFont="1" applyBorder="1"/>
    <xf numFmtId="0" fontId="26" fillId="0" borderId="34" xfId="0" applyFont="1" applyBorder="1" applyAlignment="1">
      <alignment horizontal="right"/>
    </xf>
    <xf numFmtId="0" fontId="25" fillId="0" borderId="32" xfId="0" applyFont="1" applyBorder="1"/>
    <xf numFmtId="0" fontId="25" fillId="0" borderId="34" xfId="0" applyFont="1" applyBorder="1" applyAlignment="1">
      <alignment horizontal="right"/>
    </xf>
    <xf numFmtId="0" fontId="25" fillId="0" borderId="34" xfId="0" applyFont="1" applyBorder="1"/>
    <xf numFmtId="0" fontId="21" fillId="0" borderId="34" xfId="0" applyFont="1" applyBorder="1"/>
    <xf numFmtId="0" fontId="36" fillId="0" borderId="7" xfId="0" applyFont="1" applyBorder="1" applyAlignment="1">
      <alignment horizontal="center" vertical="center"/>
    </xf>
    <xf numFmtId="10" fontId="36" fillId="0" borderId="0" xfId="2" applyNumberFormat="1" applyFont="1" applyBorder="1" applyAlignment="1">
      <alignment horizontal="center" vertical="center"/>
    </xf>
    <xf numFmtId="10" fontId="36" fillId="0" borderId="13" xfId="2" applyNumberFormat="1" applyFont="1" applyBorder="1" applyAlignment="1">
      <alignment horizontal="center" vertical="center"/>
    </xf>
    <xf numFmtId="0" fontId="39" fillId="0" borderId="7" xfId="0" applyFont="1" applyBorder="1"/>
    <xf numFmtId="0" fontId="39" fillId="0" borderId="13" xfId="0" applyFont="1" applyBorder="1"/>
    <xf numFmtId="0" fontId="26" fillId="0" borderId="16" xfId="0" applyFont="1" applyBorder="1" applyAlignment="1">
      <alignment horizontal="center" vertical="center"/>
    </xf>
    <xf numFmtId="0" fontId="56" fillId="0" borderId="0" xfId="0" applyFont="1"/>
    <xf numFmtId="0" fontId="29" fillId="0" borderId="0" xfId="0" applyFont="1" applyAlignment="1">
      <alignment horizontal="center"/>
    </xf>
    <xf numFmtId="0" fontId="26" fillId="0" borderId="16" xfId="0" applyFont="1" applyBorder="1" applyAlignment="1">
      <alignment horizontal="right"/>
    </xf>
    <xf numFmtId="2" fontId="36" fillId="0" borderId="16" xfId="0" applyNumberFormat="1" applyFont="1" applyBorder="1" applyAlignment="1">
      <alignment horizontal="center"/>
    </xf>
    <xf numFmtId="43" fontId="36" fillId="0" borderId="0" xfId="1" applyFont="1" applyBorder="1" applyAlignment="1">
      <alignment horizontal="center" vertical="center"/>
    </xf>
    <xf numFmtId="43" fontId="36" fillId="0" borderId="0" xfId="1" applyFont="1" applyBorder="1" applyAlignment="1">
      <alignment vertical="center"/>
    </xf>
    <xf numFmtId="10" fontId="36" fillId="0" borderId="0" xfId="2" applyNumberFormat="1" applyFont="1" applyBorder="1" applyAlignment="1">
      <alignment vertical="center"/>
    </xf>
    <xf numFmtId="10" fontId="0" fillId="0" borderId="0" xfId="2" applyNumberFormat="1" applyFont="1"/>
    <xf numFmtId="10" fontId="36" fillId="0" borderId="0" xfId="2" applyNumberFormat="1" applyFont="1" applyFill="1" applyBorder="1" applyAlignment="1">
      <alignment horizontal="center" vertical="center"/>
    </xf>
    <xf numFmtId="0" fontId="36" fillId="0" borderId="30" xfId="0" applyFont="1" applyBorder="1"/>
    <xf numFmtId="0" fontId="36" fillId="0" borderId="21" xfId="0" applyFont="1" applyBorder="1"/>
    <xf numFmtId="0" fontId="36" fillId="0" borderId="23" xfId="0" applyFont="1" applyBorder="1"/>
    <xf numFmtId="0" fontId="21" fillId="0" borderId="24" xfId="0" applyFont="1" applyBorder="1"/>
    <xf numFmtId="10" fontId="30" fillId="0" borderId="3" xfId="2" applyNumberFormat="1" applyFont="1" applyBorder="1" applyAlignment="1">
      <alignment horizontal="center" vertical="center"/>
    </xf>
    <xf numFmtId="10" fontId="25" fillId="0" borderId="0" xfId="2" applyNumberFormat="1" applyFont="1" applyAlignment="1">
      <alignment horizontal="center"/>
    </xf>
    <xf numFmtId="0" fontId="57" fillId="0" borderId="0" xfId="0" applyFont="1"/>
    <xf numFmtId="0" fontId="33" fillId="0" borderId="0" xfId="0" applyFont="1"/>
    <xf numFmtId="164" fontId="23" fillId="0" borderId="0" xfId="1" applyNumberFormat="1" applyFont="1" applyFill="1" applyAlignment="1">
      <alignment horizontal="center"/>
    </xf>
    <xf numFmtId="164" fontId="23" fillId="0" borderId="0" xfId="1" applyNumberFormat="1" applyFont="1" applyFill="1" applyAlignment="1"/>
    <xf numFmtId="2" fontId="26" fillId="0" borderId="16" xfId="0" applyNumberFormat="1" applyFont="1" applyBorder="1" applyAlignment="1">
      <alignment horizontal="center" vertical="center"/>
    </xf>
    <xf numFmtId="10" fontId="26" fillId="0" borderId="16" xfId="2" applyNumberFormat="1" applyFont="1" applyBorder="1" applyAlignment="1">
      <alignment horizontal="center" vertical="center"/>
    </xf>
    <xf numFmtId="10" fontId="40" fillId="0" borderId="27" xfId="2" applyNumberFormat="1" applyFont="1" applyBorder="1" applyAlignment="1">
      <alignment horizontal="center" vertical="center"/>
    </xf>
    <xf numFmtId="0" fontId="23" fillId="0" borderId="0" xfId="0" applyFont="1" applyAlignment="1">
      <alignment horizontal="center" vertical="center"/>
    </xf>
    <xf numFmtId="10" fontId="30" fillId="0" borderId="0" xfId="2" applyNumberFormat="1" applyFont="1" applyBorder="1" applyAlignment="1">
      <alignment horizontal="center" vertical="center"/>
    </xf>
    <xf numFmtId="0" fontId="30" fillId="0" borderId="8" xfId="0" applyFont="1" applyBorder="1" applyAlignment="1">
      <alignment horizontal="right" vertical="center"/>
    </xf>
    <xf numFmtId="0" fontId="32" fillId="0" borderId="17" xfId="0" applyFont="1" applyBorder="1" applyAlignment="1">
      <alignment horizontal="center"/>
    </xf>
    <xf numFmtId="0" fontId="23" fillId="0" borderId="2" xfId="0" quotePrefix="1" applyFont="1" applyBorder="1" applyAlignment="1">
      <alignment horizontal="center"/>
    </xf>
    <xf numFmtId="0" fontId="6" fillId="0" borderId="0" xfId="0" applyFont="1"/>
    <xf numFmtId="0" fontId="58" fillId="0" borderId="0" xfId="0" applyFont="1" applyAlignment="1">
      <alignment horizontal="center"/>
    </xf>
    <xf numFmtId="0" fontId="39" fillId="0" borderId="0" xfId="0" applyFont="1" applyAlignment="1">
      <alignment horizontal="left"/>
    </xf>
    <xf numFmtId="0" fontId="55" fillId="0" borderId="0" xfId="0" applyFont="1" applyAlignment="1">
      <alignment horizontal="left"/>
    </xf>
    <xf numFmtId="0" fontId="59" fillId="0" borderId="0" xfId="0" applyFont="1"/>
    <xf numFmtId="0" fontId="39" fillId="0" borderId="0" xfId="0" applyFont="1" applyAlignment="1">
      <alignment horizontal="right"/>
    </xf>
    <xf numFmtId="0" fontId="39" fillId="0" borderId="2" xfId="0" applyFont="1" applyBorder="1" applyAlignment="1">
      <alignment horizontal="center"/>
    </xf>
    <xf numFmtId="0" fontId="55" fillId="0" borderId="0" xfId="0" applyFont="1"/>
    <xf numFmtId="10" fontId="30" fillId="0" borderId="10" xfId="2" applyNumberFormat="1" applyFont="1" applyFill="1" applyBorder="1" applyAlignment="1">
      <alignment horizontal="center" vertical="center"/>
    </xf>
    <xf numFmtId="168" fontId="40" fillId="0" borderId="16" xfId="1" applyNumberFormat="1" applyFont="1" applyFill="1" applyBorder="1"/>
    <xf numFmtId="15" fontId="36" fillId="0" borderId="24" xfId="0" applyNumberFormat="1" applyFont="1" applyBorder="1" applyAlignment="1">
      <alignment horizontal="center"/>
    </xf>
    <xf numFmtId="15" fontId="36" fillId="0" borderId="12" xfId="0" applyNumberFormat="1" applyFont="1" applyBorder="1" applyAlignment="1">
      <alignment horizontal="center"/>
    </xf>
    <xf numFmtId="15" fontId="36" fillId="0" borderId="13" xfId="0" applyNumberFormat="1" applyFont="1" applyBorder="1" applyAlignment="1">
      <alignment horizontal="center"/>
    </xf>
    <xf numFmtId="0" fontId="36" fillId="0" borderId="13" xfId="0" applyFont="1" applyBorder="1" applyAlignment="1">
      <alignment horizontal="center"/>
    </xf>
    <xf numFmtId="0" fontId="54" fillId="0" borderId="0" xfId="0" applyFont="1" applyAlignment="1">
      <alignment horizontal="center" vertical="center"/>
    </xf>
    <xf numFmtId="0" fontId="54" fillId="0" borderId="1" xfId="0" applyFont="1" applyBorder="1" applyAlignment="1">
      <alignment horizontal="center" vertical="center"/>
    </xf>
    <xf numFmtId="0" fontId="0" fillId="0" borderId="1" xfId="0" applyBorder="1"/>
    <xf numFmtId="0" fontId="36" fillId="0" borderId="1" xfId="0" applyFont="1" applyBorder="1" applyAlignment="1">
      <alignment horizontal="center"/>
    </xf>
    <xf numFmtId="10" fontId="40" fillId="0" borderId="1" xfId="2" applyNumberFormat="1" applyFont="1" applyFill="1" applyBorder="1" applyAlignment="1">
      <alignment horizontal="center"/>
    </xf>
    <xf numFmtId="43" fontId="40" fillId="0" borderId="1" xfId="1" applyFont="1" applyFill="1" applyBorder="1" applyAlignment="1">
      <alignment horizontal="center"/>
    </xf>
    <xf numFmtId="43" fontId="40" fillId="0" borderId="0" xfId="1" applyFont="1" applyAlignment="1">
      <alignment horizontal="center"/>
    </xf>
    <xf numFmtId="43" fontId="40" fillId="0" borderId="0" xfId="1" applyFont="1" applyFill="1" applyAlignment="1">
      <alignment horizontal="center"/>
    </xf>
    <xf numFmtId="0" fontId="54" fillId="0" borderId="0" xfId="0" applyFont="1" applyAlignment="1">
      <alignment horizontal="right"/>
    </xf>
    <xf numFmtId="2" fontId="54" fillId="0" borderId="0" xfId="0" applyNumberFormat="1" applyFont="1"/>
    <xf numFmtId="0" fontId="36" fillId="0" borderId="5" xfId="0" applyFont="1" applyBorder="1" applyAlignment="1">
      <alignment horizontal="center"/>
    </xf>
    <xf numFmtId="0" fontId="36" fillId="0" borderId="24" xfId="0" applyFont="1" applyBorder="1" applyAlignment="1">
      <alignment horizontal="center"/>
    </xf>
    <xf numFmtId="0" fontId="36" fillId="0" borderId="6" xfId="0" applyFont="1" applyBorder="1" applyAlignment="1">
      <alignment horizontal="center"/>
    </xf>
    <xf numFmtId="164" fontId="40" fillId="0" borderId="10" xfId="1" applyNumberFormat="1" applyFont="1" applyFill="1" applyBorder="1" applyAlignment="1">
      <alignment horizontal="center"/>
    </xf>
    <xf numFmtId="164" fontId="40" fillId="0" borderId="3" xfId="1" applyNumberFormat="1" applyFont="1" applyFill="1" applyBorder="1" applyAlignment="1">
      <alignment horizontal="center"/>
    </xf>
    <xf numFmtId="164" fontId="40" fillId="0" borderId="13" xfId="1" applyNumberFormat="1" applyFont="1" applyFill="1" applyBorder="1" applyAlignment="1">
      <alignment horizontal="center"/>
    </xf>
    <xf numFmtId="169" fontId="23" fillId="0" borderId="26" xfId="0" applyNumberFormat="1" applyFont="1" applyBorder="1" applyAlignment="1">
      <alignment horizontal="center" vertical="center"/>
    </xf>
    <xf numFmtId="0" fontId="24" fillId="0" borderId="0" xfId="0" applyFont="1" applyAlignment="1">
      <alignment horizontal="center"/>
    </xf>
    <xf numFmtId="10" fontId="40" fillId="0" borderId="0" xfId="2" applyNumberFormat="1" applyFont="1" applyFill="1" applyBorder="1" applyAlignment="1">
      <alignment horizontal="center"/>
    </xf>
    <xf numFmtId="10" fontId="40" fillId="0" borderId="0" xfId="2" applyNumberFormat="1" applyFont="1" applyBorder="1" applyAlignment="1">
      <alignment horizontal="center" vertical="center"/>
    </xf>
    <xf numFmtId="10" fontId="30" fillId="0" borderId="3" xfId="2" applyNumberFormat="1" applyFont="1" applyFill="1" applyBorder="1" applyAlignment="1">
      <alignment horizontal="center" vertical="center"/>
    </xf>
    <xf numFmtId="0" fontId="26" fillId="0" borderId="19" xfId="0" applyFont="1" applyBorder="1" applyAlignment="1">
      <alignment horizontal="center" vertical="center"/>
    </xf>
    <xf numFmtId="0" fontId="30" fillId="0" borderId="32" xfId="0" applyFont="1" applyBorder="1"/>
    <xf numFmtId="0" fontId="21" fillId="0" borderId="33" xfId="0" applyFont="1" applyBorder="1"/>
    <xf numFmtId="0" fontId="36" fillId="0" borderId="32" xfId="0" applyFont="1" applyBorder="1"/>
    <xf numFmtId="0" fontId="36" fillId="0" borderId="34" xfId="0" applyFont="1" applyBorder="1"/>
    <xf numFmtId="0" fontId="40" fillId="3" borderId="20" xfId="0" applyFont="1" applyFill="1" applyBorder="1"/>
    <xf numFmtId="0" fontId="36" fillId="0" borderId="32" xfId="0" applyFont="1" applyBorder="1" applyAlignment="1">
      <alignment horizontal="right"/>
    </xf>
    <xf numFmtId="43" fontId="36" fillId="0" borderId="0" xfId="0" applyNumberFormat="1" applyFont="1"/>
    <xf numFmtId="0" fontId="37" fillId="0" borderId="35" xfId="0" applyFont="1" applyBorder="1" applyAlignment="1">
      <alignment horizontal="center"/>
    </xf>
    <xf numFmtId="0" fontId="37" fillId="0" borderId="36" xfId="0" applyFont="1" applyBorder="1" applyAlignment="1">
      <alignment horizontal="center"/>
    </xf>
    <xf numFmtId="0" fontId="37" fillId="0" borderId="37" xfId="0" applyFont="1" applyBorder="1" applyAlignment="1">
      <alignment horizontal="center"/>
    </xf>
    <xf numFmtId="0" fontId="62" fillId="0" borderId="0" xfId="0" applyFont="1" applyAlignment="1">
      <alignment horizontal="left" vertical="top" wrapText="1"/>
    </xf>
    <xf numFmtId="0" fontId="30" fillId="0" borderId="28" xfId="0" applyFont="1" applyBorder="1" applyAlignment="1">
      <alignment horizontal="center"/>
    </xf>
    <xf numFmtId="0" fontId="39" fillId="3" borderId="28" xfId="0" applyFont="1" applyFill="1" applyBorder="1" applyAlignment="1">
      <alignment horizontal="center"/>
    </xf>
    <xf numFmtId="0" fontId="39" fillId="3" borderId="26" xfId="0" applyFont="1" applyFill="1" applyBorder="1" applyAlignment="1">
      <alignment horizontal="center"/>
    </xf>
    <xf numFmtId="0" fontId="21" fillId="3" borderId="26" xfId="0" applyFont="1" applyFill="1" applyBorder="1" applyAlignment="1">
      <alignment horizontal="center"/>
    </xf>
    <xf numFmtId="0" fontId="39" fillId="3" borderId="27" xfId="0" applyFont="1" applyFill="1" applyBorder="1" applyAlignment="1">
      <alignment horizontal="center"/>
    </xf>
    <xf numFmtId="0" fontId="21" fillId="3" borderId="27" xfId="0" applyFont="1" applyFill="1" applyBorder="1" applyAlignment="1">
      <alignment horizontal="center"/>
    </xf>
    <xf numFmtId="0" fontId="21" fillId="3" borderId="29" xfId="0" applyFont="1" applyFill="1" applyBorder="1" applyAlignment="1">
      <alignment horizontal="center"/>
    </xf>
    <xf numFmtId="0" fontId="39" fillId="3" borderId="25" xfId="0" applyFont="1" applyFill="1" applyBorder="1" applyAlignment="1">
      <alignment horizontal="center"/>
    </xf>
    <xf numFmtId="0" fontId="21" fillId="3" borderId="30" xfId="0" applyFont="1" applyFill="1" applyBorder="1" applyAlignment="1">
      <alignment horizontal="center"/>
    </xf>
    <xf numFmtId="0" fontId="21" fillId="3" borderId="21" xfId="0" applyFont="1" applyFill="1" applyBorder="1" applyAlignment="1">
      <alignment horizontal="center"/>
    </xf>
    <xf numFmtId="0" fontId="21" fillId="3" borderId="23" xfId="0" applyFont="1" applyFill="1" applyBorder="1" applyAlignment="1">
      <alignment horizontal="center"/>
    </xf>
    <xf numFmtId="164" fontId="24" fillId="0" borderId="0" xfId="1" applyNumberFormat="1" applyFont="1" applyFill="1" applyAlignment="1">
      <alignment horizontal="center"/>
    </xf>
    <xf numFmtId="0" fontId="0" fillId="0" borderId="4" xfId="0" applyBorder="1"/>
    <xf numFmtId="0" fontId="0" fillId="0" borderId="33" xfId="0" applyBorder="1"/>
    <xf numFmtId="0" fontId="23" fillId="0" borderId="1" xfId="0" applyFont="1" applyBorder="1" applyAlignment="1">
      <alignment horizontal="right"/>
    </xf>
    <xf numFmtId="164" fontId="24" fillId="0" borderId="1" xfId="1" applyNumberFormat="1" applyFont="1" applyFill="1" applyBorder="1" applyAlignment="1">
      <alignment horizontal="center"/>
    </xf>
    <xf numFmtId="10" fontId="24" fillId="0" borderId="1" xfId="2" applyNumberFormat="1" applyFont="1" applyFill="1" applyBorder="1" applyAlignment="1">
      <alignment horizontal="center" vertical="center"/>
    </xf>
    <xf numFmtId="1" fontId="24" fillId="0" borderId="0" xfId="0" applyNumberFormat="1" applyFont="1" applyAlignment="1">
      <alignment horizontal="center"/>
    </xf>
    <xf numFmtId="44" fontId="24" fillId="0" borderId="0" xfId="3" applyFont="1" applyFill="1" applyAlignment="1">
      <alignment horizontal="center"/>
    </xf>
    <xf numFmtId="10" fontId="24" fillId="0" borderId="0" xfId="2" applyNumberFormat="1" applyFont="1" applyFill="1" applyAlignment="1">
      <alignment horizontal="right" vertical="center"/>
    </xf>
    <xf numFmtId="10" fontId="24" fillId="0" borderId="1" xfId="2" applyNumberFormat="1" applyFont="1" applyFill="1" applyBorder="1" applyAlignment="1">
      <alignment horizontal="right" vertical="center"/>
    </xf>
    <xf numFmtId="43" fontId="24" fillId="0" borderId="0" xfId="1" applyFont="1" applyFill="1" applyAlignment="1">
      <alignment horizontal="center" vertical="center"/>
    </xf>
    <xf numFmtId="43" fontId="26" fillId="0" borderId="16" xfId="1" applyFont="1" applyFill="1" applyBorder="1" applyAlignment="1">
      <alignment horizontal="center" vertical="center"/>
    </xf>
    <xf numFmtId="43" fontId="24" fillId="0" borderId="1" xfId="1" applyFont="1" applyFill="1" applyBorder="1" applyAlignment="1">
      <alignment horizontal="right" vertical="center"/>
    </xf>
    <xf numFmtId="3" fontId="40" fillId="0" borderId="10" xfId="0" applyNumberFormat="1" applyFont="1" applyBorder="1"/>
    <xf numFmtId="165" fontId="24" fillId="0" borderId="0" xfId="3" applyNumberFormat="1" applyFont="1" applyFill="1" applyAlignment="1">
      <alignment horizontal="right"/>
    </xf>
    <xf numFmtId="3" fontId="40" fillId="0" borderId="3" xfId="0" applyNumberFormat="1" applyFont="1" applyBorder="1"/>
    <xf numFmtId="170" fontId="21" fillId="0" borderId="0" xfId="0" applyNumberFormat="1" applyFont="1"/>
    <xf numFmtId="3" fontId="40" fillId="0" borderId="0" xfId="0" applyNumberFormat="1" applyFont="1"/>
    <xf numFmtId="0" fontId="40" fillId="0" borderId="0" xfId="0" applyFont="1" applyAlignment="1">
      <alignment horizontal="left" vertical="center"/>
    </xf>
    <xf numFmtId="2" fontId="24" fillId="0" borderId="0" xfId="0" applyNumberFormat="1" applyFont="1" applyAlignment="1">
      <alignment horizontal="right" vertical="center"/>
    </xf>
    <xf numFmtId="164" fontId="40" fillId="0" borderId="2" xfId="1" applyNumberFormat="1" applyFont="1" applyFill="1" applyBorder="1"/>
    <xf numFmtId="10" fontId="40" fillId="0" borderId="2" xfId="2" applyNumberFormat="1" applyFont="1" applyFill="1" applyBorder="1"/>
    <xf numFmtId="10" fontId="40" fillId="0" borderId="14" xfId="2" applyNumberFormat="1" applyFont="1" applyFill="1" applyBorder="1"/>
    <xf numFmtId="0" fontId="36" fillId="0" borderId="1" xfId="0" applyFont="1" applyBorder="1" applyAlignment="1">
      <alignment horizontal="right"/>
    </xf>
    <xf numFmtId="10" fontId="36" fillId="0" borderId="1" xfId="2" applyNumberFormat="1" applyFont="1" applyBorder="1"/>
    <xf numFmtId="2" fontId="24" fillId="0" borderId="1" xfId="0" applyNumberFormat="1" applyFont="1" applyBorder="1" applyAlignment="1">
      <alignment horizontal="right" vertical="center"/>
    </xf>
    <xf numFmtId="165" fontId="24" fillId="0" borderId="0" xfId="3" applyNumberFormat="1" applyFont="1" applyFill="1" applyAlignment="1">
      <alignment horizontal="center"/>
    </xf>
    <xf numFmtId="166" fontId="24" fillId="0" borderId="0" xfId="1" applyNumberFormat="1" applyFont="1" applyFill="1" applyAlignment="1">
      <alignment horizontal="center" vertical="center"/>
    </xf>
    <xf numFmtId="10" fontId="30" fillId="0" borderId="0" xfId="2" applyNumberFormat="1" applyFont="1" applyFill="1" applyBorder="1" applyAlignment="1">
      <alignment horizontal="center" vertical="center"/>
    </xf>
    <xf numFmtId="0" fontId="21" fillId="0" borderId="0" xfId="0" applyFont="1" applyAlignment="1">
      <alignment horizontal="right"/>
    </xf>
    <xf numFmtId="0" fontId="21" fillId="0" borderId="21" xfId="0" applyFont="1" applyBorder="1"/>
    <xf numFmtId="169" fontId="23" fillId="0" borderId="21" xfId="0" applyNumberFormat="1" applyFont="1" applyBorder="1" applyAlignment="1">
      <alignment horizontal="center" vertical="center"/>
    </xf>
    <xf numFmtId="0" fontId="21" fillId="0" borderId="23" xfId="0" applyFont="1" applyBorder="1"/>
    <xf numFmtId="10" fontId="30" fillId="0" borderId="0" xfId="2" applyNumberFormat="1" applyFont="1" applyAlignment="1">
      <alignment horizontal="left"/>
    </xf>
    <xf numFmtId="0" fontId="23" fillId="0" borderId="29" xfId="0" applyFont="1" applyBorder="1" applyAlignment="1">
      <alignment horizontal="right"/>
    </xf>
    <xf numFmtId="0" fontId="23" fillId="0" borderId="30" xfId="0" applyFont="1" applyBorder="1" applyAlignment="1">
      <alignment horizontal="left"/>
    </xf>
    <xf numFmtId="10" fontId="25" fillId="0" borderId="0" xfId="2" applyNumberFormat="1" applyFont="1" applyFill="1" applyAlignment="1">
      <alignment horizontal="center"/>
    </xf>
    <xf numFmtId="0" fontId="23" fillId="0" borderId="20" xfId="0" applyFont="1" applyBorder="1" applyAlignment="1">
      <alignment horizontal="right"/>
    </xf>
    <xf numFmtId="0" fontId="23" fillId="0" borderId="21" xfId="0" applyFont="1" applyBorder="1" applyAlignment="1">
      <alignment horizontal="left"/>
    </xf>
    <xf numFmtId="0" fontId="23" fillId="0" borderId="22" xfId="0" applyFont="1" applyBorder="1" applyAlignment="1">
      <alignment horizontal="right"/>
    </xf>
    <xf numFmtId="0" fontId="23" fillId="0" borderId="23" xfId="0" applyFont="1" applyBorder="1" applyAlignment="1">
      <alignment horizontal="left"/>
    </xf>
    <xf numFmtId="0" fontId="63" fillId="0" borderId="0" xfId="0" applyFont="1"/>
    <xf numFmtId="10" fontId="36" fillId="0" borderId="26" xfId="2" applyNumberFormat="1" applyFont="1" applyFill="1" applyBorder="1" applyAlignment="1">
      <alignment horizontal="center"/>
    </xf>
    <xf numFmtId="169" fontId="36" fillId="0" borderId="27" xfId="2" applyNumberFormat="1" applyFont="1" applyFill="1" applyBorder="1" applyAlignment="1">
      <alignment horizontal="center"/>
    </xf>
    <xf numFmtId="169" fontId="30" fillId="0" borderId="16" xfId="2" applyNumberFormat="1" applyFont="1" applyFill="1" applyBorder="1" applyAlignment="1">
      <alignment horizontal="center"/>
    </xf>
    <xf numFmtId="0" fontId="20" fillId="0" borderId="0" xfId="6" applyFill="1" applyAlignment="1" applyProtection="1"/>
    <xf numFmtId="0" fontId="64" fillId="0" borderId="0" xfId="6" applyFont="1" applyFill="1" applyAlignment="1" applyProtection="1"/>
    <xf numFmtId="10" fontId="49" fillId="0" borderId="16" xfId="2" applyNumberFormat="1" applyFont="1" applyFill="1" applyBorder="1" applyAlignment="1">
      <alignment horizontal="center"/>
    </xf>
    <xf numFmtId="0" fontId="65" fillId="0" borderId="0" xfId="0" applyFont="1"/>
    <xf numFmtId="10" fontId="24" fillId="0" borderId="10" xfId="2" applyNumberFormat="1" applyFont="1" applyFill="1" applyBorder="1" applyAlignment="1">
      <alignment horizontal="center"/>
    </xf>
    <xf numFmtId="10" fontId="24" fillId="0" borderId="10" xfId="1" applyNumberFormat="1" applyFont="1" applyFill="1" applyBorder="1" applyAlignment="1">
      <alignment horizontal="center"/>
    </xf>
    <xf numFmtId="0" fontId="38" fillId="0" borderId="28" xfId="0" applyFont="1" applyBorder="1"/>
    <xf numFmtId="10" fontId="38" fillId="0" borderId="28" xfId="2" applyNumberFormat="1" applyFont="1" applyFill="1" applyBorder="1"/>
    <xf numFmtId="2" fontId="38" fillId="0" borderId="28" xfId="0" applyNumberFormat="1" applyFont="1" applyBorder="1"/>
    <xf numFmtId="2" fontId="26" fillId="0" borderId="0" xfId="0" applyNumberFormat="1" applyFont="1" applyAlignment="1">
      <alignment horizontal="center"/>
    </xf>
    <xf numFmtId="10" fontId="26" fillId="0" borderId="0" xfId="2" applyNumberFormat="1" applyFont="1" applyFill="1" applyBorder="1" applyAlignment="1">
      <alignment horizontal="center"/>
    </xf>
    <xf numFmtId="3" fontId="36" fillId="0" borderId="10" xfId="0" applyNumberFormat="1" applyFont="1" applyBorder="1" applyAlignment="1">
      <alignment horizontal="right" vertical="center"/>
    </xf>
    <xf numFmtId="0" fontId="23" fillId="0" borderId="7" xfId="0" applyFont="1" applyBorder="1"/>
    <xf numFmtId="0" fontId="24" fillId="0" borderId="8" xfId="0" applyFont="1" applyBorder="1"/>
    <xf numFmtId="0" fontId="37" fillId="0" borderId="17" xfId="0" applyFont="1" applyBorder="1" applyAlignment="1">
      <alignment horizontal="center"/>
    </xf>
    <xf numFmtId="0" fontId="67" fillId="0" borderId="0" xfId="0" applyFont="1"/>
    <xf numFmtId="0" fontId="22" fillId="0" borderId="20" xfId="0" applyFont="1" applyBorder="1"/>
    <xf numFmtId="0" fontId="15" fillId="0" borderId="0" xfId="0" applyFont="1" applyAlignment="1">
      <alignment horizontal="center"/>
    </xf>
    <xf numFmtId="0" fontId="68" fillId="0" borderId="0" xfId="0" applyFont="1"/>
    <xf numFmtId="0" fontId="56" fillId="0" borderId="20" xfId="0" applyFont="1" applyBorder="1"/>
    <xf numFmtId="164" fontId="48" fillId="0" borderId="0" xfId="1" applyNumberFormat="1" applyFont="1" applyFill="1" applyBorder="1"/>
    <xf numFmtId="166" fontId="24" fillId="0" borderId="1" xfId="1" applyNumberFormat="1" applyFont="1" applyFill="1" applyBorder="1" applyAlignment="1">
      <alignment horizontal="center" vertical="center"/>
    </xf>
    <xf numFmtId="43" fontId="24" fillId="0" borderId="1" xfId="1" applyFont="1" applyFill="1" applyBorder="1" applyAlignment="1">
      <alignment horizontal="center" vertical="center"/>
    </xf>
    <xf numFmtId="164" fontId="36" fillId="0" borderId="0" xfId="1" applyNumberFormat="1" applyFont="1"/>
    <xf numFmtId="164" fontId="36" fillId="0" borderId="10" xfId="1" applyNumberFormat="1" applyFont="1" applyFill="1" applyBorder="1"/>
    <xf numFmtId="164" fontId="39" fillId="0" borderId="0" xfId="1" applyNumberFormat="1" applyFont="1"/>
    <xf numFmtId="0" fontId="37" fillId="0" borderId="0" xfId="0" applyFont="1" applyAlignment="1">
      <alignment horizontal="center"/>
    </xf>
    <xf numFmtId="2" fontId="40" fillId="0" borderId="3" xfId="0" applyNumberFormat="1" applyFont="1" applyBorder="1" applyAlignment="1">
      <alignment horizontal="center"/>
    </xf>
    <xf numFmtId="0" fontId="22" fillId="0" borderId="20" xfId="0" applyFont="1" applyBorder="1" applyAlignment="1">
      <alignment horizontal="left"/>
    </xf>
    <xf numFmtId="0" fontId="40" fillId="0" borderId="3" xfId="0" applyFont="1" applyBorder="1" applyAlignment="1">
      <alignment horizontal="center"/>
    </xf>
    <xf numFmtId="2" fontId="24" fillId="0" borderId="0" xfId="0" applyNumberFormat="1" applyFont="1" applyAlignment="1">
      <alignment horizontal="right"/>
    </xf>
    <xf numFmtId="10" fontId="40" fillId="0" borderId="28" xfId="2" applyNumberFormat="1" applyFont="1" applyFill="1" applyBorder="1" applyAlignment="1">
      <alignment horizontal="center"/>
    </xf>
    <xf numFmtId="0" fontId="40" fillId="0" borderId="18" xfId="0" applyFont="1" applyBorder="1"/>
    <xf numFmtId="10" fontId="24" fillId="0" borderId="1" xfId="2" applyNumberFormat="1" applyFont="1" applyBorder="1" applyAlignment="1">
      <alignment horizontal="right" vertical="center"/>
    </xf>
    <xf numFmtId="0" fontId="30" fillId="0" borderId="3" xfId="0" applyFont="1" applyBorder="1" applyAlignment="1">
      <alignment horizontal="center"/>
    </xf>
    <xf numFmtId="0" fontId="40" fillId="3" borderId="22" xfId="0" applyFont="1" applyFill="1" applyBorder="1"/>
    <xf numFmtId="164" fontId="0" fillId="0" borderId="0" xfId="1" applyNumberFormat="1" applyFont="1"/>
    <xf numFmtId="165" fontId="23" fillId="0" borderId="0" xfId="3" applyNumberFormat="1" applyFont="1"/>
    <xf numFmtId="16" fontId="21" fillId="0" borderId="0" xfId="0" applyNumberFormat="1" applyFont="1"/>
    <xf numFmtId="17" fontId="21" fillId="0" borderId="0" xfId="0" applyNumberFormat="1" applyFont="1"/>
    <xf numFmtId="16" fontId="23" fillId="0" borderId="0" xfId="0" applyNumberFormat="1" applyFont="1" applyAlignment="1">
      <alignment horizontal="right"/>
    </xf>
    <xf numFmtId="0" fontId="24" fillId="0" borderId="7" xfId="0" applyFont="1" applyBorder="1"/>
    <xf numFmtId="10" fontId="40" fillId="0" borderId="0" xfId="2" applyNumberFormat="1" applyFont="1" applyFill="1" applyAlignment="1">
      <alignment horizontal="right"/>
    </xf>
    <xf numFmtId="10" fontId="23" fillId="0" borderId="0" xfId="0" applyNumberFormat="1" applyFont="1" applyAlignment="1">
      <alignment horizontal="right"/>
    </xf>
    <xf numFmtId="0" fontId="38" fillId="0" borderId="16" xfId="0" applyFont="1" applyBorder="1" applyAlignment="1">
      <alignment horizontal="center"/>
    </xf>
    <xf numFmtId="10" fontId="26" fillId="0" borderId="16" xfId="2" applyNumberFormat="1" applyFont="1" applyFill="1" applyBorder="1" applyAlignment="1">
      <alignment horizontal="center"/>
    </xf>
    <xf numFmtId="10" fontId="24" fillId="0" borderId="0" xfId="0" applyNumberFormat="1" applyFont="1" applyAlignment="1">
      <alignment horizontal="center"/>
    </xf>
    <xf numFmtId="10" fontId="24" fillId="0" borderId="0" xfId="2" applyNumberFormat="1" applyFont="1" applyAlignment="1">
      <alignment horizontal="right"/>
    </xf>
    <xf numFmtId="10" fontId="24" fillId="0" borderId="4" xfId="2" applyNumberFormat="1" applyFont="1" applyFill="1" applyBorder="1" applyAlignment="1">
      <alignment horizontal="right"/>
    </xf>
    <xf numFmtId="10" fontId="24" fillId="0" borderId="4" xfId="2" applyNumberFormat="1" applyFont="1" applyBorder="1" applyAlignment="1">
      <alignment horizontal="right"/>
    </xf>
    <xf numFmtId="10" fontId="23" fillId="0" borderId="0" xfId="2" applyNumberFormat="1" applyFont="1" applyFill="1" applyAlignment="1">
      <alignment horizontal="right" vertical="center"/>
    </xf>
    <xf numFmtId="10" fontId="23" fillId="0" borderId="0" xfId="2" applyNumberFormat="1" applyFont="1" applyFill="1" applyBorder="1" applyAlignment="1">
      <alignment horizontal="right" vertical="center"/>
    </xf>
    <xf numFmtId="10" fontId="25" fillId="0" borderId="16" xfId="2" applyNumberFormat="1" applyFont="1" applyFill="1" applyBorder="1"/>
    <xf numFmtId="10" fontId="25" fillId="0" borderId="16" xfId="2" applyNumberFormat="1" applyFont="1" applyFill="1" applyBorder="1" applyAlignment="1">
      <alignment horizontal="center"/>
    </xf>
    <xf numFmtId="2" fontId="38" fillId="0" borderId="18" xfId="0" applyNumberFormat="1" applyFont="1" applyBorder="1"/>
    <xf numFmtId="43" fontId="38" fillId="0" borderId="28" xfId="1" applyFont="1" applyFill="1" applyBorder="1"/>
    <xf numFmtId="2" fontId="26" fillId="0" borderId="16" xfId="0" applyNumberFormat="1" applyFont="1" applyBorder="1" applyAlignment="1">
      <alignment horizontal="center"/>
    </xf>
    <xf numFmtId="2" fontId="36" fillId="0" borderId="34" xfId="0" applyNumberFormat="1" applyFont="1" applyBorder="1" applyAlignment="1">
      <alignment horizontal="center"/>
    </xf>
    <xf numFmtId="43" fontId="40" fillId="0" borderId="0" xfId="1" applyFont="1" applyFill="1" applyAlignment="1">
      <alignment horizontal="center" vertical="center"/>
    </xf>
    <xf numFmtId="43" fontId="40" fillId="0" borderId="1" xfId="1" applyFont="1" applyFill="1" applyBorder="1" applyAlignment="1">
      <alignment horizontal="center" vertical="center"/>
    </xf>
    <xf numFmtId="43" fontId="36" fillId="0" borderId="0" xfId="1" applyFont="1" applyFill="1" applyAlignment="1">
      <alignment horizontal="center"/>
    </xf>
    <xf numFmtId="43" fontId="40" fillId="0" borderId="0" xfId="1" applyFont="1" applyFill="1" applyAlignment="1">
      <alignment vertical="center"/>
    </xf>
    <xf numFmtId="2" fontId="40" fillId="0" borderId="0" xfId="0" applyNumberFormat="1" applyFont="1" applyAlignment="1">
      <alignment horizontal="right"/>
    </xf>
    <xf numFmtId="2" fontId="40" fillId="0" borderId="4" xfId="0" applyNumberFormat="1" applyFont="1" applyBorder="1" applyAlignment="1">
      <alignment horizontal="right"/>
    </xf>
    <xf numFmtId="10" fontId="24" fillId="0" borderId="0" xfId="0" applyNumberFormat="1" applyFont="1" applyAlignment="1">
      <alignment horizontal="right"/>
    </xf>
    <xf numFmtId="164" fontId="36" fillId="0" borderId="0" xfId="1" applyNumberFormat="1" applyFont="1" applyFill="1"/>
    <xf numFmtId="0" fontId="36" fillId="4" borderId="38" xfId="0" applyFont="1" applyFill="1" applyBorder="1"/>
    <xf numFmtId="0" fontId="36" fillId="4" borderId="20" xfId="0" applyFont="1" applyFill="1" applyBorder="1"/>
    <xf numFmtId="0" fontId="40" fillId="4" borderId="20" xfId="0" applyFont="1" applyFill="1" applyBorder="1"/>
    <xf numFmtId="10" fontId="40" fillId="4" borderId="38" xfId="2" applyNumberFormat="1" applyFont="1" applyFill="1" applyBorder="1" applyAlignment="1">
      <alignment horizontal="center"/>
    </xf>
    <xf numFmtId="10" fontId="40" fillId="4" borderId="20" xfId="2" applyNumberFormat="1" applyFont="1" applyFill="1" applyBorder="1" applyAlignment="1">
      <alignment horizontal="center"/>
    </xf>
    <xf numFmtId="0" fontId="21" fillId="0" borderId="20" xfId="0" applyFont="1" applyBorder="1"/>
    <xf numFmtId="10" fontId="21" fillId="0" borderId="20" xfId="2" applyNumberFormat="1" applyFont="1" applyFill="1" applyBorder="1"/>
    <xf numFmtId="10" fontId="21" fillId="0" borderId="20" xfId="0" applyNumberFormat="1" applyFont="1" applyBorder="1"/>
    <xf numFmtId="0" fontId="30" fillId="0" borderId="25" xfId="0" applyFont="1" applyBorder="1" applyAlignment="1">
      <alignment horizontal="center"/>
    </xf>
    <xf numFmtId="0" fontId="66" fillId="0" borderId="24" xfId="0" applyFont="1" applyBorder="1" applyAlignment="1">
      <alignment horizontal="center" wrapText="1"/>
    </xf>
    <xf numFmtId="10" fontId="24" fillId="0" borderId="24" xfId="2" applyNumberFormat="1" applyFont="1" applyFill="1" applyBorder="1" applyAlignment="1">
      <alignment horizontal="center"/>
    </xf>
    <xf numFmtId="10" fontId="24" fillId="0" borderId="3" xfId="2" applyNumberFormat="1" applyFont="1" applyFill="1" applyBorder="1" applyAlignment="1">
      <alignment horizontal="center"/>
    </xf>
    <xf numFmtId="10" fontId="24" fillId="0" borderId="3" xfId="1" applyNumberFormat="1" applyFont="1" applyFill="1" applyBorder="1" applyAlignment="1">
      <alignment horizontal="center"/>
    </xf>
    <xf numFmtId="10" fontId="24" fillId="0" borderId="24" xfId="1" applyNumberFormat="1" applyFont="1" applyFill="1" applyBorder="1" applyAlignment="1">
      <alignment horizontal="center"/>
    </xf>
    <xf numFmtId="0" fontId="39" fillId="3" borderId="18" xfId="0" applyFont="1" applyFill="1" applyBorder="1" applyAlignment="1">
      <alignment horizontal="center"/>
    </xf>
    <xf numFmtId="0" fontId="65" fillId="0" borderId="24" xfId="0" applyFont="1" applyBorder="1"/>
    <xf numFmtId="0" fontId="65" fillId="0" borderId="10" xfId="0" applyFont="1" applyBorder="1"/>
    <xf numFmtId="0" fontId="65" fillId="0" borderId="3" xfId="0" applyFont="1" applyBorder="1"/>
    <xf numFmtId="0" fontId="65" fillId="0" borderId="16" xfId="0" applyFont="1" applyBorder="1"/>
    <xf numFmtId="0" fontId="21" fillId="0" borderId="8" xfId="0" applyFont="1" applyBorder="1"/>
    <xf numFmtId="0" fontId="21" fillId="0" borderId="14" xfId="0" applyFont="1" applyBorder="1"/>
    <xf numFmtId="0" fontId="0" fillId="0" borderId="8" xfId="0" applyBorder="1"/>
    <xf numFmtId="0" fontId="0" fillId="0" borderId="14" xfId="0" applyBorder="1"/>
    <xf numFmtId="0" fontId="36" fillId="4" borderId="26" xfId="0" applyFont="1" applyFill="1" applyBorder="1"/>
    <xf numFmtId="0" fontId="40" fillId="4" borderId="26" xfId="0" applyFont="1" applyFill="1" applyBorder="1"/>
    <xf numFmtId="0" fontId="40" fillId="3" borderId="26" xfId="0" applyFont="1" applyFill="1" applyBorder="1"/>
    <xf numFmtId="10" fontId="40" fillId="3" borderId="20" xfId="2" applyNumberFormat="1" applyFont="1" applyFill="1" applyBorder="1" applyAlignment="1">
      <alignment horizontal="center"/>
    </xf>
    <xf numFmtId="0" fontId="36" fillId="4" borderId="27" xfId="0" applyFont="1" applyFill="1" applyBorder="1"/>
    <xf numFmtId="10" fontId="26" fillId="0" borderId="16" xfId="2" applyNumberFormat="1" applyFont="1" applyFill="1" applyBorder="1" applyAlignment="1">
      <alignment horizontal="center" vertical="center"/>
    </xf>
    <xf numFmtId="10" fontId="44" fillId="0" borderId="16" xfId="2" applyNumberFormat="1" applyFont="1" applyFill="1" applyBorder="1" applyAlignment="1">
      <alignment horizontal="center"/>
    </xf>
    <xf numFmtId="10" fontId="26" fillId="0" borderId="16" xfId="2" applyNumberFormat="1" applyFont="1" applyFill="1" applyBorder="1" applyAlignment="1">
      <alignment horizontal="right"/>
    </xf>
    <xf numFmtId="10" fontId="26" fillId="0" borderId="34" xfId="0" applyNumberFormat="1" applyFont="1" applyBorder="1"/>
    <xf numFmtId="10" fontId="70" fillId="0" borderId="0" xfId="2" applyNumberFormat="1" applyFont="1" applyFill="1" applyAlignment="1">
      <alignment horizontal="center"/>
    </xf>
    <xf numFmtId="169" fontId="36" fillId="0" borderId="25" xfId="2" applyNumberFormat="1" applyFont="1" applyFill="1" applyBorder="1" applyAlignment="1">
      <alignment horizontal="center"/>
    </xf>
    <xf numFmtId="171" fontId="26" fillId="0" borderId="16" xfId="2" applyNumberFormat="1" applyFont="1" applyFill="1" applyBorder="1" applyAlignment="1">
      <alignment horizontal="center"/>
    </xf>
    <xf numFmtId="0" fontId="0" fillId="0" borderId="20" xfId="0" applyBorder="1"/>
    <xf numFmtId="10" fontId="40" fillId="4" borderId="22" xfId="2" applyNumberFormat="1" applyFont="1" applyFill="1" applyBorder="1" applyAlignment="1">
      <alignment horizontal="center"/>
    </xf>
    <xf numFmtId="10" fontId="40" fillId="3" borderId="22" xfId="2" applyNumberFormat="1" applyFont="1" applyFill="1" applyBorder="1" applyAlignment="1">
      <alignment horizontal="center"/>
    </xf>
    <xf numFmtId="0" fontId="13" fillId="0" borderId="0" xfId="0" applyFont="1" applyAlignment="1">
      <alignment horizontal="center"/>
    </xf>
    <xf numFmtId="0" fontId="14"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0" fontId="0" fillId="0" borderId="0" xfId="0" applyAlignment="1">
      <alignment horizontal="center"/>
    </xf>
    <xf numFmtId="0" fontId="5" fillId="0" borderId="0" xfId="0" applyFont="1" applyAlignment="1">
      <alignment horizontal="center"/>
    </xf>
    <xf numFmtId="0" fontId="6" fillId="0" borderId="0" xfId="0" applyFont="1" applyAlignment="1">
      <alignment horizontal="center"/>
    </xf>
    <xf numFmtId="0" fontId="7" fillId="0" borderId="0" xfId="0" applyFont="1" applyAlignment="1">
      <alignment horizontal="center"/>
    </xf>
    <xf numFmtId="0" fontId="8" fillId="0" borderId="0" xfId="0" applyFont="1" applyAlignment="1">
      <alignment horizontal="center"/>
    </xf>
    <xf numFmtId="0" fontId="9" fillId="0" borderId="0" xfId="0" applyFont="1" applyAlignment="1">
      <alignment horizontal="center"/>
    </xf>
    <xf numFmtId="0" fontId="10" fillId="0" borderId="0" xfId="0" applyFont="1" applyAlignment="1">
      <alignment horizontal="center"/>
    </xf>
    <xf numFmtId="0" fontId="22" fillId="0" borderId="0" xfId="0" applyFont="1" applyAlignment="1">
      <alignment horizontal="left" vertical="top" wrapText="1"/>
    </xf>
    <xf numFmtId="10" fontId="29" fillId="0" borderId="0" xfId="2" applyNumberFormat="1" applyFont="1" applyFill="1" applyAlignment="1">
      <alignment horizontal="center"/>
    </xf>
  </cellXfs>
  <cellStyles count="7">
    <cellStyle name="Comma" xfId="1" builtinId="3"/>
    <cellStyle name="Comma0 - Style5" xfId="4" xr:uid="{1397E544-7A5D-4627-82CA-446E9A855C6D}"/>
    <cellStyle name="Currency" xfId="3" builtinId="4"/>
    <cellStyle name="Hyperlink" xfId="6" builtinId="8"/>
    <cellStyle name="Normal" xfId="0" builtinId="0"/>
    <cellStyle name="Percen - Style2" xfId="5" xr:uid="{A055BC95-278A-4F04-A738-FFE257F1BA8F}"/>
    <cellStyle name="Percent" xfId="2" builtinId="5"/>
  </cellStyles>
  <dxfs count="0"/>
  <tableStyles count="0" defaultTableStyle="TableStyleMedium9"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447674</xdr:colOff>
      <xdr:row>33</xdr:row>
      <xdr:rowOff>53975</xdr:rowOff>
    </xdr:from>
    <xdr:to>
      <xdr:col>6</xdr:col>
      <xdr:colOff>400049</xdr:colOff>
      <xdr:row>35</xdr:row>
      <xdr:rowOff>149225</xdr:rowOff>
    </xdr:to>
    <xdr:pic>
      <xdr:nvPicPr>
        <xdr:cNvPr id="3" name="Picture 2" descr="Horse.bmp">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2124074" y="7235825"/>
          <a:ext cx="1781175" cy="476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123825</xdr:colOff>
      <xdr:row>52</xdr:row>
      <xdr:rowOff>161925</xdr:rowOff>
    </xdr:to>
    <xdr:pic>
      <xdr:nvPicPr>
        <xdr:cNvPr id="2" name="Picture 1">
          <a:extLst>
            <a:ext uri="{FF2B5EF4-FFF2-40B4-BE49-F238E27FC236}">
              <a16:creationId xmlns:a16="http://schemas.microsoft.com/office/drawing/2014/main" id="{6D812958-F587-CF66-28A5-E60948A8FD61}"/>
            </a:ext>
          </a:extLst>
        </xdr:cNvPr>
        <xdr:cNvPicPr>
          <a:picLocks noChangeAspect="1"/>
        </xdr:cNvPicPr>
      </xdr:nvPicPr>
      <xdr:blipFill>
        <a:blip xmlns:r="http://schemas.openxmlformats.org/officeDocument/2006/relationships" r:embed="rId1"/>
        <a:stretch>
          <a:fillRect/>
        </a:stretch>
      </xdr:blipFill>
      <xdr:spPr>
        <a:xfrm>
          <a:off x="609600" y="190500"/>
          <a:ext cx="7439025" cy="9877425"/>
        </a:xfrm>
        <a:prstGeom prst="rect">
          <a:avLst/>
        </a:prstGeom>
      </xdr:spPr>
    </xdr:pic>
    <xdr:clientData/>
  </xdr:twoCellAnchor>
  <xdr:twoCellAnchor editAs="oneCell">
    <xdr:from>
      <xdr:col>14</xdr:col>
      <xdr:colOff>0</xdr:colOff>
      <xdr:row>1</xdr:row>
      <xdr:rowOff>0</xdr:rowOff>
    </xdr:from>
    <xdr:to>
      <xdr:col>26</xdr:col>
      <xdr:colOff>114300</xdr:colOff>
      <xdr:row>52</xdr:row>
      <xdr:rowOff>152400</xdr:rowOff>
    </xdr:to>
    <xdr:pic>
      <xdr:nvPicPr>
        <xdr:cNvPr id="3" name="Picture 2">
          <a:extLst>
            <a:ext uri="{FF2B5EF4-FFF2-40B4-BE49-F238E27FC236}">
              <a16:creationId xmlns:a16="http://schemas.microsoft.com/office/drawing/2014/main" id="{0AD36AAB-B2C9-4870-2CFC-99EFCCCD508F}"/>
            </a:ext>
          </a:extLst>
        </xdr:cNvPr>
        <xdr:cNvPicPr>
          <a:picLocks noChangeAspect="1"/>
        </xdr:cNvPicPr>
      </xdr:nvPicPr>
      <xdr:blipFill>
        <a:blip xmlns:r="http://schemas.openxmlformats.org/officeDocument/2006/relationships" r:embed="rId2"/>
        <a:stretch>
          <a:fillRect/>
        </a:stretch>
      </xdr:blipFill>
      <xdr:spPr>
        <a:xfrm>
          <a:off x="8534400" y="190500"/>
          <a:ext cx="7429500" cy="98679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tradingeconomics.com/united-states/gdp-growth" TargetMode="External"/><Relationship Id="rId13" Type="http://schemas.openxmlformats.org/officeDocument/2006/relationships/hyperlink" Target="https://www.federalreserve.gov/datadownload/Preview.aspx?pi=400&amp;rel=H15&amp;preview=%20H15/H15/RIFLGFCY05_N.WF" TargetMode="External"/><Relationship Id="rId3" Type="http://schemas.openxmlformats.org/officeDocument/2006/relationships/hyperlink" Target="https://www.philadelphiafed.org/surveys-and-data/real-time-data-research/survey-of-professional-forecasters" TargetMode="External"/><Relationship Id="rId7" Type="http://schemas.openxmlformats.org/officeDocument/2006/relationships/hyperlink" Target="https://www.federalreserve.gov/monetarypolicy/files/fomcprojtabl20221214.pdf" TargetMode="External"/><Relationship Id="rId12" Type="http://schemas.openxmlformats.org/officeDocument/2006/relationships/hyperlink" Target="https://www.federalreserve.gov/monetarypolicy/files/fomcprojtabl20221215.pdf" TargetMode="External"/><Relationship Id="rId2" Type="http://schemas.openxmlformats.org/officeDocument/2006/relationships/hyperlink" Target="https://www.cbo.gov/about/products/budget-economic-data" TargetMode="External"/><Relationship Id="rId16" Type="http://schemas.openxmlformats.org/officeDocument/2006/relationships/printerSettings" Target="../printerSettings/printerSettings14.bin"/><Relationship Id="rId1" Type="http://schemas.openxmlformats.org/officeDocument/2006/relationships/hyperlink" Target="https://www.philadelphiafed.org/research-and-data/real-time-center/livingston-survey" TargetMode="External"/><Relationship Id="rId6" Type="http://schemas.openxmlformats.org/officeDocument/2006/relationships/hyperlink" Target="http://www.federalreserve.gov/" TargetMode="External"/><Relationship Id="rId11" Type="http://schemas.openxmlformats.org/officeDocument/2006/relationships/hyperlink" Target="http://www.federalreserve.gov/Releases/H15/Current/" TargetMode="External"/><Relationship Id="rId5" Type="http://schemas.openxmlformats.org/officeDocument/2006/relationships/hyperlink" Target="http://pages.stern.nyu.edu/~adamodar/New_Home_Page/valquestions/stablegrowthrate.htm" TargetMode="External"/><Relationship Id="rId15" Type="http://schemas.openxmlformats.org/officeDocument/2006/relationships/hyperlink" Target="https://www.cbo.gov/system/files/2021-02/56970-Outlook.p" TargetMode="External"/><Relationship Id="rId10" Type="http://schemas.openxmlformats.org/officeDocument/2006/relationships/hyperlink" Target="http://country.eiu.com/article.aspx?articleid=1652314548&amp;Country=United+States&amp;topic=Economy&amp;subtopic=Long-term+outlook&amp;subsubtopic=Summary" TargetMode="External"/><Relationship Id="rId4" Type="http://schemas.openxmlformats.org/officeDocument/2006/relationships/hyperlink" Target="https://www.philadelphiafed.org/research-and-data/real-time-center/livingston-survey" TargetMode="External"/><Relationship Id="rId9" Type="http://schemas.openxmlformats.org/officeDocument/2006/relationships/hyperlink" Target="http://www.worldbank.org/en/publication/global-economic-prospects" TargetMode="External"/><Relationship Id="rId14" Type="http://schemas.openxmlformats.org/officeDocument/2006/relationships/hyperlink" Target="https://www.philadelphiafed.org/-/media/frbp/assets/surveys-and-data/survey-of-professional-forecasters/2023/spfq123.pdf"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bvresources.com/products/faqs/cost-of-capital-professional" TargetMode="External"/><Relationship Id="rId2" Type="http://schemas.openxmlformats.org/officeDocument/2006/relationships/hyperlink" Target="https://papers.ssrn.com/sol3/papers.cfm?abstract_id=3803990" TargetMode="External"/><Relationship Id="rId1" Type="http://schemas.openxmlformats.org/officeDocument/2006/relationships/hyperlink" Target="https://simplywall.st/stocks/us/transportation" TargetMode="External"/><Relationship Id="rId6" Type="http://schemas.openxmlformats.org/officeDocument/2006/relationships/printerSettings" Target="../printerSettings/printerSettings16.bin"/><Relationship Id="rId5" Type="http://schemas.openxmlformats.org/officeDocument/2006/relationships/hyperlink" Target="http://pages.stern.nyu.edu/~adamodar/New_Home_Page/datacurrent.html" TargetMode="External"/><Relationship Id="rId4" Type="http://schemas.openxmlformats.org/officeDocument/2006/relationships/hyperlink" Target="https://www.richmondfed.org/research/national_economy/cfo_survey"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M37"/>
  <sheetViews>
    <sheetView view="pageBreakPreview" zoomScale="60" zoomScaleNormal="100" workbookViewId="0">
      <selection activeCell="G25" sqref="G25"/>
    </sheetView>
  </sheetViews>
  <sheetFormatPr defaultRowHeight="15"/>
  <cols>
    <col min="9" max="9" width="16.42578125" customWidth="1"/>
  </cols>
  <sheetData>
    <row r="1" spans="1:13" ht="18.75">
      <c r="A1" s="457" t="s">
        <v>0</v>
      </c>
      <c r="B1" s="458"/>
      <c r="C1" s="458"/>
      <c r="D1" s="458"/>
      <c r="E1" s="458"/>
      <c r="F1" s="458"/>
      <c r="G1" s="458"/>
      <c r="H1" s="458"/>
      <c r="I1" s="458"/>
    </row>
    <row r="5" spans="1:13" ht="27">
      <c r="E5" s="459" t="s">
        <v>0</v>
      </c>
      <c r="F5" s="460"/>
      <c r="G5" s="460"/>
      <c r="H5" s="460"/>
      <c r="I5" s="460"/>
      <c r="J5" s="460"/>
      <c r="K5" s="460"/>
      <c r="L5" s="460"/>
      <c r="M5" s="460"/>
    </row>
    <row r="7" spans="1:13" ht="27">
      <c r="A7" s="461" t="s">
        <v>31</v>
      </c>
      <c r="B7" s="462"/>
      <c r="C7" s="462"/>
      <c r="D7" s="462"/>
      <c r="E7" s="462"/>
      <c r="F7" s="462"/>
      <c r="G7" s="462"/>
      <c r="H7" s="462"/>
      <c r="I7" s="462"/>
    </row>
    <row r="8" spans="1:13" ht="27">
      <c r="A8" s="6"/>
      <c r="B8" s="7"/>
      <c r="C8" s="7"/>
      <c r="D8" s="7"/>
      <c r="E8" s="459" t="s">
        <v>0</v>
      </c>
      <c r="F8" s="460"/>
      <c r="G8" s="460"/>
      <c r="H8" s="460"/>
      <c r="I8" s="460"/>
      <c r="J8" s="460"/>
      <c r="K8" s="460"/>
      <c r="L8" s="460"/>
      <c r="M8" s="460"/>
    </row>
    <row r="9" spans="1:13" ht="27">
      <c r="A9" s="459" t="s">
        <v>94</v>
      </c>
      <c r="B9" s="460"/>
      <c r="C9" s="460"/>
      <c r="D9" s="460"/>
      <c r="E9" s="460"/>
      <c r="F9" s="460"/>
      <c r="G9" s="460"/>
      <c r="H9" s="460"/>
      <c r="I9" s="460"/>
    </row>
    <row r="15" spans="1:13">
      <c r="A15" s="454" t="s">
        <v>0</v>
      </c>
      <c r="B15" s="455"/>
      <c r="C15" s="455"/>
      <c r="D15" s="455"/>
      <c r="E15" s="455"/>
      <c r="F15" s="455"/>
      <c r="G15" s="455"/>
      <c r="H15" s="455"/>
      <c r="I15" s="455"/>
    </row>
    <row r="16" spans="1:13" ht="33.75">
      <c r="A16" s="452" t="str">
        <f>+'S&amp;D'!A12</f>
        <v>Natural Gas Utility Distribution</v>
      </c>
      <c r="B16" s="453"/>
      <c r="C16" s="453"/>
      <c r="D16" s="453"/>
      <c r="E16" s="453"/>
      <c r="F16" s="453"/>
      <c r="G16" s="453"/>
      <c r="H16" s="453"/>
      <c r="I16" s="453"/>
    </row>
    <row r="17" spans="1:9">
      <c r="A17" s="454" t="s">
        <v>0</v>
      </c>
      <c r="B17" s="455"/>
      <c r="C17" s="455"/>
      <c r="D17" s="455"/>
      <c r="E17" s="455"/>
      <c r="F17" s="455"/>
      <c r="G17" s="455"/>
      <c r="H17" s="455"/>
      <c r="I17" s="455"/>
    </row>
    <row r="18" spans="1:9">
      <c r="A18" s="8"/>
      <c r="B18" s="9"/>
      <c r="C18" s="9"/>
      <c r="D18" s="9"/>
      <c r="E18" s="9"/>
      <c r="F18" s="9"/>
      <c r="G18" s="9"/>
      <c r="H18" s="9"/>
      <c r="I18" s="9"/>
    </row>
    <row r="19" spans="1:9">
      <c r="A19" s="8"/>
      <c r="B19" s="9"/>
      <c r="C19" s="9"/>
      <c r="D19" s="9"/>
      <c r="E19" s="9"/>
      <c r="F19" s="9"/>
      <c r="G19" s="9"/>
      <c r="H19" s="9"/>
      <c r="I19" s="9"/>
    </row>
    <row r="20" spans="1:9">
      <c r="A20" s="8"/>
      <c r="B20" s="9"/>
      <c r="C20" s="9"/>
      <c r="D20" s="9"/>
      <c r="E20" s="9"/>
      <c r="F20" s="9"/>
      <c r="G20" s="9"/>
      <c r="H20" s="9"/>
      <c r="I20" s="9"/>
    </row>
    <row r="21" spans="1:9">
      <c r="A21" s="8"/>
      <c r="B21" s="9"/>
      <c r="C21" s="9"/>
      <c r="D21" s="9"/>
      <c r="E21" s="9"/>
      <c r="F21" s="9"/>
      <c r="G21" s="9"/>
      <c r="H21" s="9"/>
      <c r="I21" s="9"/>
    </row>
    <row r="22" spans="1:9">
      <c r="A22" s="8"/>
      <c r="B22" s="9"/>
      <c r="C22" s="9"/>
      <c r="D22" s="9"/>
      <c r="E22" s="9"/>
      <c r="F22" s="9"/>
      <c r="G22" s="9"/>
      <c r="H22" s="9"/>
      <c r="I22" s="9"/>
    </row>
    <row r="23" spans="1:9">
      <c r="A23" s="8"/>
      <c r="B23" s="9"/>
      <c r="C23" s="9"/>
      <c r="D23" s="9"/>
      <c r="E23" s="9"/>
      <c r="F23" s="9"/>
      <c r="G23" s="9"/>
      <c r="H23" s="9"/>
      <c r="I23" s="9"/>
    </row>
    <row r="24" spans="1:9">
      <c r="A24" s="8"/>
      <c r="B24" s="9"/>
      <c r="C24" s="9"/>
      <c r="D24" s="9"/>
      <c r="E24" s="9"/>
      <c r="F24" s="9"/>
      <c r="G24" s="9"/>
      <c r="H24" s="9"/>
      <c r="I24" s="9"/>
    </row>
    <row r="25" spans="1:9">
      <c r="A25" s="8"/>
      <c r="B25" s="9"/>
      <c r="C25" s="9"/>
      <c r="D25" s="9"/>
      <c r="E25" s="9"/>
      <c r="F25" s="9"/>
      <c r="G25" s="9"/>
      <c r="H25" s="9"/>
      <c r="I25" s="9"/>
    </row>
    <row r="26" spans="1:9">
      <c r="A26" s="8"/>
      <c r="B26" s="9"/>
      <c r="C26" s="9"/>
      <c r="D26" s="9"/>
      <c r="E26" s="9"/>
      <c r="F26" s="9"/>
      <c r="G26" s="9"/>
      <c r="H26" s="9"/>
      <c r="I26" s="9"/>
    </row>
    <row r="27" spans="1:9">
      <c r="A27" s="8"/>
      <c r="B27" s="9"/>
      <c r="C27" s="9"/>
      <c r="D27" s="9"/>
      <c r="E27" s="9"/>
      <c r="F27" s="9"/>
      <c r="G27" s="9"/>
      <c r="H27" s="9"/>
      <c r="I27" s="9"/>
    </row>
    <row r="28" spans="1:9">
      <c r="A28" s="8"/>
      <c r="B28" s="9"/>
      <c r="C28" s="9"/>
      <c r="D28" s="9"/>
      <c r="E28" s="9"/>
      <c r="F28" s="9"/>
      <c r="G28" s="9"/>
      <c r="H28" s="9"/>
      <c r="I28" s="9"/>
    </row>
    <row r="29" spans="1:9">
      <c r="A29" s="454" t="s">
        <v>0</v>
      </c>
      <c r="B29" s="455"/>
      <c r="C29" s="455"/>
      <c r="D29" s="455"/>
      <c r="E29" s="455"/>
      <c r="F29" s="455"/>
      <c r="G29" s="455"/>
      <c r="H29" s="455"/>
      <c r="I29" s="455"/>
    </row>
    <row r="34" spans="1:9">
      <c r="A34" s="456"/>
      <c r="B34" s="456"/>
      <c r="C34" s="456"/>
      <c r="D34" s="456"/>
      <c r="E34" s="456"/>
      <c r="F34" s="456"/>
      <c r="G34" s="456"/>
      <c r="H34" s="456"/>
      <c r="I34" s="456"/>
    </row>
    <row r="35" spans="1:9">
      <c r="A35" s="456"/>
      <c r="B35" s="456"/>
      <c r="C35" s="456"/>
      <c r="D35" s="456"/>
      <c r="E35" s="456"/>
      <c r="F35" s="456"/>
      <c r="G35" s="456"/>
      <c r="H35" s="456"/>
      <c r="I35" s="456"/>
    </row>
    <row r="36" spans="1:9">
      <c r="A36" s="456"/>
      <c r="B36" s="456"/>
      <c r="C36" s="456"/>
      <c r="D36" s="456"/>
      <c r="E36" s="456"/>
      <c r="F36" s="456"/>
      <c r="G36" s="456"/>
      <c r="H36" s="456"/>
      <c r="I36" s="456"/>
    </row>
    <row r="37" spans="1:9">
      <c r="A37" s="456"/>
      <c r="B37" s="456"/>
      <c r="C37" s="456"/>
      <c r="D37" s="456"/>
      <c r="E37" s="456"/>
      <c r="F37" s="456"/>
      <c r="G37" s="456"/>
      <c r="H37" s="456"/>
      <c r="I37" s="456"/>
    </row>
  </sheetData>
  <mergeCells count="10">
    <mergeCell ref="A16:I16"/>
    <mergeCell ref="A17:I17"/>
    <mergeCell ref="A29:I29"/>
    <mergeCell ref="A34:I37"/>
    <mergeCell ref="A1:I1"/>
    <mergeCell ref="E5:M5"/>
    <mergeCell ref="A7:I7"/>
    <mergeCell ref="E8:M8"/>
    <mergeCell ref="A9:I9"/>
    <mergeCell ref="A15:I15"/>
  </mergeCells>
  <pageMargins left="0.25" right="0.25"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7977D-79F8-4597-B6CD-EDBA2BDD7D4C}">
  <sheetPr>
    <tabColor rgb="FF92D050"/>
  </sheetPr>
  <dimension ref="A1:L44"/>
  <sheetViews>
    <sheetView tabSelected="1" view="pageBreakPreview" topLeftCell="A3" zoomScale="70" zoomScaleNormal="80" zoomScaleSheetLayoutView="70" workbookViewId="0">
      <selection activeCell="H9" sqref="H9"/>
    </sheetView>
  </sheetViews>
  <sheetFormatPr defaultRowHeight="15"/>
  <cols>
    <col min="1" max="1" width="51.7109375" customWidth="1"/>
    <col min="2" max="2" width="10.85546875" bestFit="1" customWidth="1"/>
    <col min="3" max="3" width="20.5703125" customWidth="1"/>
    <col min="4" max="4" width="21.7109375" customWidth="1"/>
    <col min="5" max="5" width="24.140625" customWidth="1"/>
    <col min="6" max="6" width="22.28515625" customWidth="1"/>
    <col min="7" max="7" width="23.85546875" customWidth="1"/>
    <col min="8" max="8" width="22.7109375" customWidth="1"/>
    <col min="9" max="9" width="15" customWidth="1"/>
    <col min="10" max="10" width="14.140625" bestFit="1" customWidth="1"/>
  </cols>
  <sheetData>
    <row r="1" spans="1:11" ht="26.25">
      <c r="A1" s="25" t="s">
        <v>1</v>
      </c>
      <c r="B1" s="13"/>
      <c r="C1" s="13"/>
      <c r="D1" s="13"/>
      <c r="E1" s="13"/>
      <c r="F1" s="13"/>
      <c r="G1" s="13"/>
      <c r="H1" s="13"/>
      <c r="I1" s="13"/>
      <c r="J1" s="13"/>
      <c r="K1" s="13"/>
    </row>
    <row r="2" spans="1:11" ht="17.25">
      <c r="A2" s="26" t="s">
        <v>9</v>
      </c>
      <c r="B2" s="13"/>
      <c r="C2" s="13"/>
      <c r="D2" s="13"/>
      <c r="E2" s="13"/>
      <c r="F2" s="13"/>
      <c r="G2" s="13"/>
      <c r="H2" s="13"/>
      <c r="I2" s="13"/>
      <c r="J2" s="13"/>
      <c r="K2" s="13"/>
    </row>
    <row r="3" spans="1:11" ht="16.5">
      <c r="A3" s="27" t="s">
        <v>81</v>
      </c>
      <c r="B3" s="13"/>
      <c r="C3" s="13"/>
      <c r="D3" s="13"/>
      <c r="E3" s="13"/>
      <c r="F3" s="13"/>
      <c r="G3" s="13"/>
      <c r="H3" s="13"/>
      <c r="I3" s="13"/>
      <c r="J3" s="13"/>
      <c r="K3" s="13"/>
    </row>
    <row r="4" spans="1:11" ht="16.5">
      <c r="A4" s="27"/>
      <c r="B4" s="13"/>
      <c r="C4" s="13"/>
      <c r="D4" s="13"/>
      <c r="E4" s="13"/>
      <c r="F4" s="13"/>
      <c r="G4" s="13"/>
      <c r="H4" s="13"/>
      <c r="I4" s="13"/>
      <c r="J4" s="13"/>
      <c r="K4" s="13"/>
    </row>
    <row r="5" spans="1:11" ht="17.25" thickBot="1">
      <c r="A5" s="13"/>
      <c r="B5" s="13"/>
      <c r="C5" s="13"/>
      <c r="D5" s="13"/>
      <c r="E5" s="13"/>
      <c r="F5" s="28" t="s">
        <v>0</v>
      </c>
      <c r="G5" s="28"/>
      <c r="H5" s="13" t="s">
        <v>0</v>
      </c>
      <c r="I5" s="13"/>
      <c r="J5" s="13"/>
      <c r="K5" s="13"/>
    </row>
    <row r="6" spans="1:11" ht="21" thickBot="1">
      <c r="A6" s="281" t="str">
        <f>+'S&amp;D'!A12</f>
        <v>Natural Gas Utility Distribution</v>
      </c>
      <c r="B6" s="211"/>
      <c r="C6" s="13"/>
      <c r="D6" s="30"/>
      <c r="E6" s="30"/>
      <c r="F6" s="30"/>
      <c r="G6" s="13"/>
      <c r="H6" s="13"/>
      <c r="I6" s="13"/>
      <c r="J6" s="13"/>
      <c r="K6" s="13"/>
    </row>
    <row r="7" spans="1:11" ht="26.25">
      <c r="A7" s="32"/>
      <c r="B7" s="13"/>
      <c r="C7" s="13"/>
      <c r="D7" s="13"/>
      <c r="E7" s="33" t="s">
        <v>215</v>
      </c>
      <c r="F7" s="13"/>
      <c r="G7" s="13"/>
      <c r="H7" s="13" t="s">
        <v>0</v>
      </c>
      <c r="I7" s="13"/>
      <c r="J7" s="13"/>
      <c r="K7" s="13"/>
    </row>
    <row r="8" spans="1:11" ht="17.25" thickBot="1">
      <c r="A8" s="42" t="s">
        <v>0</v>
      </c>
      <c r="B8" s="42" t="s">
        <v>0</v>
      </c>
      <c r="C8" s="42" t="s">
        <v>0</v>
      </c>
      <c r="D8" s="35" t="s">
        <v>0</v>
      </c>
      <c r="E8" s="34" t="s">
        <v>95</v>
      </c>
      <c r="F8" s="35" t="s">
        <v>0</v>
      </c>
      <c r="G8" s="42"/>
      <c r="H8" s="42" t="s">
        <v>0</v>
      </c>
      <c r="I8" s="42" t="s">
        <v>0</v>
      </c>
      <c r="J8" s="13"/>
      <c r="K8" s="13"/>
    </row>
    <row r="9" spans="1:11" ht="16.5">
      <c r="A9" s="42"/>
      <c r="B9" s="42"/>
      <c r="H9" s="42" t="s">
        <v>0</v>
      </c>
      <c r="I9" s="42"/>
      <c r="J9" s="13"/>
      <c r="K9" s="13"/>
    </row>
    <row r="10" spans="1:11" ht="16.5">
      <c r="A10" s="42"/>
      <c r="B10" s="42"/>
      <c r="C10" t="s">
        <v>0</v>
      </c>
      <c r="D10" t="s">
        <v>0</v>
      </c>
      <c r="E10" s="14" t="s">
        <v>0</v>
      </c>
      <c r="H10" s="42"/>
      <c r="I10" s="42"/>
      <c r="J10" s="13"/>
      <c r="K10" s="13"/>
    </row>
    <row r="11" spans="1:11" ht="16.5">
      <c r="A11" s="42"/>
      <c r="B11" s="42"/>
      <c r="H11" s="42"/>
      <c r="I11" s="42"/>
      <c r="J11" s="13"/>
      <c r="K11" s="13"/>
    </row>
    <row r="12" spans="1:11" ht="17.25" thickBot="1">
      <c r="A12" s="35"/>
      <c r="B12" s="35"/>
      <c r="C12" s="165"/>
      <c r="D12" s="165"/>
      <c r="E12" s="165"/>
      <c r="F12" s="165"/>
      <c r="G12" s="165"/>
      <c r="H12" s="35"/>
      <c r="I12" s="35"/>
      <c r="J12" s="30"/>
      <c r="K12" s="13"/>
    </row>
    <row r="13" spans="1:11" ht="11.25" customHeight="1" thickBot="1">
      <c r="A13" s="35" t="s">
        <v>24</v>
      </c>
      <c r="B13" s="35" t="s">
        <v>110</v>
      </c>
      <c r="C13" s="35" t="s">
        <v>111</v>
      </c>
      <c r="D13" s="43" t="s">
        <v>112</v>
      </c>
      <c r="E13" s="35" t="s">
        <v>113</v>
      </c>
      <c r="F13" s="35" t="s">
        <v>114</v>
      </c>
      <c r="G13" s="35" t="s">
        <v>115</v>
      </c>
      <c r="H13" s="35" t="s">
        <v>116</v>
      </c>
      <c r="I13" s="35" t="s">
        <v>117</v>
      </c>
      <c r="J13" s="35" t="s">
        <v>118</v>
      </c>
      <c r="K13" s="13"/>
    </row>
    <row r="14" spans="1:11" ht="16.5">
      <c r="A14" s="36" t="s">
        <v>0</v>
      </c>
      <c r="B14" s="36" t="s">
        <v>3</v>
      </c>
      <c r="C14" s="36" t="s">
        <v>105</v>
      </c>
      <c r="D14" s="36" t="s">
        <v>138</v>
      </c>
      <c r="E14" s="36" t="s">
        <v>139</v>
      </c>
      <c r="F14" s="36" t="s">
        <v>138</v>
      </c>
      <c r="G14" s="36" t="s">
        <v>139</v>
      </c>
      <c r="H14" s="36" t="s">
        <v>19</v>
      </c>
      <c r="I14" s="36" t="s">
        <v>140</v>
      </c>
      <c r="J14" s="36" t="s">
        <v>152</v>
      </c>
      <c r="K14" s="13"/>
    </row>
    <row r="15" spans="1:11" ht="17.25" thickBot="1">
      <c r="A15" s="38" t="s">
        <v>2</v>
      </c>
      <c r="B15" s="38" t="s">
        <v>4</v>
      </c>
      <c r="C15" s="38" t="s">
        <v>137</v>
      </c>
      <c r="D15" s="38" t="s">
        <v>104</v>
      </c>
      <c r="E15" s="38" t="s">
        <v>104</v>
      </c>
      <c r="F15" s="38" t="s">
        <v>105</v>
      </c>
      <c r="G15" s="38" t="s">
        <v>105</v>
      </c>
      <c r="H15" s="38" t="s">
        <v>138</v>
      </c>
      <c r="I15" s="38" t="s">
        <v>141</v>
      </c>
      <c r="J15" s="38" t="s">
        <v>151</v>
      </c>
      <c r="K15" s="13"/>
    </row>
    <row r="16" spans="1:11" ht="16.5">
      <c r="A16" s="44" t="s">
        <v>7</v>
      </c>
      <c r="B16" s="44" t="s">
        <v>7</v>
      </c>
      <c r="C16" s="44" t="s">
        <v>154</v>
      </c>
      <c r="D16" s="44" t="s">
        <v>154</v>
      </c>
      <c r="E16" s="44" t="s">
        <v>154</v>
      </c>
      <c r="F16" s="44" t="s">
        <v>154</v>
      </c>
      <c r="G16" s="44" t="s">
        <v>154</v>
      </c>
      <c r="H16" s="44" t="s">
        <v>143</v>
      </c>
      <c r="I16" s="44" t="s">
        <v>142</v>
      </c>
      <c r="J16" s="44" t="s">
        <v>120</v>
      </c>
      <c r="K16" s="13"/>
    </row>
    <row r="17" spans="1:12" ht="16.5">
      <c r="A17" s="36"/>
      <c r="B17" s="36"/>
      <c r="C17" s="36"/>
      <c r="D17" s="36"/>
      <c r="E17" s="36"/>
      <c r="F17" s="36"/>
      <c r="G17" s="36"/>
      <c r="H17" s="36"/>
      <c r="I17" s="36"/>
      <c r="J17" s="36"/>
      <c r="K17" s="13"/>
    </row>
    <row r="18" spans="1:12" ht="16.5">
      <c r="A18" s="13"/>
      <c r="B18" s="13"/>
      <c r="C18" s="13"/>
      <c r="D18" s="13"/>
      <c r="E18" s="13"/>
      <c r="F18" s="13"/>
      <c r="G18" s="13"/>
      <c r="H18" s="13"/>
      <c r="I18" s="13"/>
      <c r="J18" s="13"/>
      <c r="K18" s="13"/>
    </row>
    <row r="19" spans="1:12" ht="17.25">
      <c r="A19" s="66" t="str">
        <f>+'S&amp;D'!A22</f>
        <v>Atmos Energy Corp</v>
      </c>
      <c r="B19" s="93" t="str">
        <f>+'S&amp;D'!B22</f>
        <v>ATO</v>
      </c>
      <c r="C19" s="385">
        <f>102811000+36760000-19851000</f>
        <v>119720000</v>
      </c>
      <c r="D19" s="317">
        <f>+E19*(8653665/7960000)</f>
        <v>8649918702.3128128</v>
      </c>
      <c r="E19" s="147">
        <f>5555177000+2401377000</f>
        <v>7956554000</v>
      </c>
      <c r="F19" s="147">
        <f>+'S&amp;D'!G42</f>
        <v>7850126464.4938354</v>
      </c>
      <c r="G19" s="147">
        <f>+'S&amp;D'!J22</f>
        <v>8753279000</v>
      </c>
      <c r="H19" s="199">
        <f>(D19+F19)/2</f>
        <v>8250022583.4033241</v>
      </c>
      <c r="I19" s="464">
        <f>C19/H19</f>
        <v>1.4511475428060312E-2</v>
      </c>
      <c r="J19" s="47">
        <f>F19/G19</f>
        <v>0.89682123287671234</v>
      </c>
      <c r="K19" s="13"/>
    </row>
    <row r="20" spans="1:12" ht="17.25">
      <c r="A20" s="66" t="str">
        <f>+'S&amp;D'!A23</f>
        <v>Black Hills Corporation</v>
      </c>
      <c r="B20" s="93" t="str">
        <f>+'S&amp;D'!B23</f>
        <v>BKH</v>
      </c>
      <c r="C20" s="329">
        <v>162584000</v>
      </c>
      <c r="D20" s="317">
        <f>+E20*(4570619/4126923)</f>
        <v>4570619000</v>
      </c>
      <c r="E20" s="147">
        <v>4126923000</v>
      </c>
      <c r="F20" s="147">
        <f>+'S&amp;D'!G43</f>
        <v>3760848000</v>
      </c>
      <c r="G20" s="147">
        <f>+'S&amp;D'!J23</f>
        <v>4132340000</v>
      </c>
      <c r="H20" s="199">
        <f t="shared" ref="H20:H29" si="0">(D20+F20)/2</f>
        <v>4165733500</v>
      </c>
      <c r="I20" s="69">
        <f t="shared" ref="I20:I29" si="1">C20/H20</f>
        <v>3.90289009126484E-2</v>
      </c>
      <c r="J20" s="47">
        <f t="shared" ref="J20:J29" si="2">F20/G20</f>
        <v>0.91010129853787447</v>
      </c>
      <c r="K20" s="13"/>
    </row>
    <row r="21" spans="1:12" ht="17.25">
      <c r="A21" s="66" t="str">
        <f>+'S&amp;D'!A24</f>
        <v>CenterPoint Energy Inc.</v>
      </c>
      <c r="B21" s="93" t="str">
        <f>+'S&amp;D'!B24</f>
        <v>CNP</v>
      </c>
      <c r="C21" s="329">
        <v>524000000</v>
      </c>
      <c r="D21" s="317">
        <v>17385000000</v>
      </c>
      <c r="E21" s="147">
        <v>16086000000</v>
      </c>
      <c r="F21" s="147">
        <f>+'S&amp;D'!G44</f>
        <v>14990000000</v>
      </c>
      <c r="G21" s="147">
        <f>+'S&amp;D'!J24</f>
        <v>16338000000</v>
      </c>
      <c r="H21" s="199">
        <f t="shared" si="0"/>
        <v>16187500000</v>
      </c>
      <c r="I21" s="69">
        <f t="shared" si="1"/>
        <v>3.2370656370656371E-2</v>
      </c>
      <c r="J21" s="47">
        <f t="shared" si="2"/>
        <v>0.91749296119476065</v>
      </c>
      <c r="K21" s="13"/>
    </row>
    <row r="22" spans="1:12" ht="17.25">
      <c r="A22" s="66" t="str">
        <f>+'S&amp;D'!A25</f>
        <v>CMS Energy Corporation</v>
      </c>
      <c r="B22" s="93" t="str">
        <f>+'S&amp;D'!B25</f>
        <v>CMS</v>
      </c>
      <c r="C22" s="329">
        <v>519000000</v>
      </c>
      <c r="D22" s="317">
        <v>13861116032</v>
      </c>
      <c r="E22" s="147">
        <v>12474000000</v>
      </c>
      <c r="F22" s="147">
        <f>+'S&amp;D'!G45</f>
        <v>12451095975.232199</v>
      </c>
      <c r="G22" s="147">
        <f>+'S&amp;D'!J25</f>
        <v>14289000000</v>
      </c>
      <c r="H22" s="199">
        <f t="shared" si="0"/>
        <v>13156106003.6161</v>
      </c>
      <c r="I22" s="69">
        <f t="shared" si="1"/>
        <v>3.9449362893347557E-2</v>
      </c>
      <c r="J22" s="47">
        <f t="shared" si="2"/>
        <v>0.87137630171685898</v>
      </c>
      <c r="K22" s="13"/>
    </row>
    <row r="23" spans="1:12" ht="17.25">
      <c r="A23" s="66" t="str">
        <f>+'S&amp;D'!A26</f>
        <v>New Jersey Resources Corp</v>
      </c>
      <c r="B23" s="93" t="str">
        <f>+'S&amp;D'!B26</f>
        <v>NJR</v>
      </c>
      <c r="C23" s="329">
        <f>85830000+29491000-19477000</f>
        <v>95844000</v>
      </c>
      <c r="D23" s="317">
        <f>+E23*(2373791/2202845)</f>
        <v>2530896805.2073569</v>
      </c>
      <c r="E23" s="147">
        <f>74461000+2274176000</f>
        <v>2348637000</v>
      </c>
      <c r="F23" s="147">
        <f>+'S&amp;D'!G46</f>
        <v>2351550863.7005014</v>
      </c>
      <c r="G23" s="147">
        <f>+'S&amp;D'!J26</f>
        <v>2771001000</v>
      </c>
      <c r="H23" s="199">
        <f t="shared" si="0"/>
        <v>2441223834.4539289</v>
      </c>
      <c r="I23" s="69">
        <f t="shared" si="1"/>
        <v>3.9260635852934433E-2</v>
      </c>
      <c r="J23" s="47">
        <f t="shared" si="2"/>
        <v>0.84862865935468856</v>
      </c>
      <c r="K23" s="13"/>
    </row>
    <row r="24" spans="1:12" ht="17.25">
      <c r="A24" s="66" t="str">
        <f>+'S&amp;D'!A27</f>
        <v>NISOURCE Inc.</v>
      </c>
      <c r="B24" s="93" t="str">
        <f>+'S&amp;D'!B27</f>
        <v>NI</v>
      </c>
      <c r="C24" s="329">
        <v>361600000</v>
      </c>
      <c r="D24" s="317">
        <f>+E24*(10415.7/9241.5)</f>
        <v>10415700000</v>
      </c>
      <c r="E24" s="147">
        <v>9241500000</v>
      </c>
      <c r="F24" s="147">
        <f>+'S&amp;D'!G47</f>
        <v>8479400000</v>
      </c>
      <c r="G24" s="147">
        <f>+'S&amp;D'!J27</f>
        <v>9553600000</v>
      </c>
      <c r="H24" s="199">
        <f t="shared" si="0"/>
        <v>9447550000</v>
      </c>
      <c r="I24" s="69">
        <f t="shared" si="1"/>
        <v>3.8274473276140378E-2</v>
      </c>
      <c r="J24" s="47">
        <f t="shared" si="2"/>
        <v>0.88756071009881088</v>
      </c>
      <c r="K24" s="13"/>
    </row>
    <row r="25" spans="1:12" ht="17.25">
      <c r="A25" s="66" t="str">
        <f>+'S&amp;D'!A28</f>
        <v xml:space="preserve">Northwest Natural Holding Company </v>
      </c>
      <c r="B25" s="93" t="str">
        <f>+'S&amp;D'!B28</f>
        <v>NWN</v>
      </c>
      <c r="C25" s="329">
        <v>53247000</v>
      </c>
      <c r="D25" s="317">
        <v>1174500000</v>
      </c>
      <c r="E25" s="147">
        <f>1044587000+345000</f>
        <v>1044932000</v>
      </c>
      <c r="F25" s="147">
        <f>+'S&amp;D'!G48</f>
        <v>1148395000</v>
      </c>
      <c r="G25" s="147">
        <f>+'S&amp;D'!J28</f>
        <v>1336864000</v>
      </c>
      <c r="H25" s="199">
        <f t="shared" si="0"/>
        <v>1161447500</v>
      </c>
      <c r="I25" s="69">
        <f t="shared" si="1"/>
        <v>4.5845378288730226E-2</v>
      </c>
      <c r="J25" s="47">
        <f t="shared" si="2"/>
        <v>0.859021560906719</v>
      </c>
      <c r="K25" s="13"/>
    </row>
    <row r="26" spans="1:12" ht="17.25">
      <c r="A26" s="66" t="str">
        <f>+'S&amp;D'!A29</f>
        <v>One Gas INC</v>
      </c>
      <c r="B26" s="93" t="str">
        <f>+'S&amp;D'!B29</f>
        <v>OGS</v>
      </c>
      <c r="C26" s="329">
        <v>77506000</v>
      </c>
      <c r="D26" s="317">
        <f>+E26*(3.9/3.7)</f>
        <v>3882479513.5135131</v>
      </c>
      <c r="E26" s="147">
        <v>3683378000</v>
      </c>
      <c r="F26" s="147">
        <f>+'S&amp;D'!G49</f>
        <v>2483758333.333333</v>
      </c>
      <c r="G26" s="147">
        <f>+'S&amp;D'!J29</f>
        <v>2682459000</v>
      </c>
      <c r="H26" s="199">
        <f t="shared" si="0"/>
        <v>3183118923.4234228</v>
      </c>
      <c r="I26" s="69">
        <f t="shared" si="1"/>
        <v>2.4349074560067904E-2</v>
      </c>
      <c r="J26" s="47">
        <f t="shared" si="2"/>
        <v>0.92592592592592582</v>
      </c>
      <c r="K26" s="13"/>
    </row>
    <row r="27" spans="1:12" ht="17.25">
      <c r="A27" s="66" t="str">
        <f>+'S&amp;D'!A30</f>
        <v>Southwest Gas Holdings, Inc</v>
      </c>
      <c r="B27" s="93" t="str">
        <f>+'S&amp;D'!B30</f>
        <v>SWX</v>
      </c>
      <c r="C27" s="329">
        <v>242750000</v>
      </c>
      <c r="D27" s="317">
        <f>+E27*1.045737616</f>
        <v>4614848465.3089285</v>
      </c>
      <c r="E27" s="147">
        <v>4413008000</v>
      </c>
      <c r="F27" s="147">
        <f>+'S&amp;D'!G50</f>
        <v>4225463200</v>
      </c>
      <c r="G27" s="147">
        <f>+'S&amp;D'!J30</f>
        <v>4447856000</v>
      </c>
      <c r="H27" s="199">
        <f>(D27+F27)/2</f>
        <v>4420155832.6544647</v>
      </c>
      <c r="I27" s="69">
        <f>C27/H27</f>
        <v>5.4918878245570762E-2</v>
      </c>
      <c r="J27" s="47">
        <f>F27/G27</f>
        <v>0.95</v>
      </c>
      <c r="K27" s="13"/>
    </row>
    <row r="28" spans="1:12" ht="17.25">
      <c r="A28" s="66" t="str">
        <f>+'S&amp;D'!A31</f>
        <v>Spire Inc / Laclede Group Inc</v>
      </c>
      <c r="B28" s="93" t="str">
        <f>+'S&amp;D'!B31</f>
        <v>SR</v>
      </c>
      <c r="C28" s="329">
        <v>119800000</v>
      </c>
      <c r="D28" s="317">
        <v>3594400000</v>
      </c>
      <c r="E28" s="147">
        <v>3238000000</v>
      </c>
      <c r="F28" s="147">
        <f>+'S&amp;D'!G51</f>
        <v>3083700000</v>
      </c>
      <c r="G28" s="147">
        <f>+'S&amp;D'!J31</f>
        <v>3412900000</v>
      </c>
      <c r="H28" s="199">
        <f>(D28+F28)/2</f>
        <v>3339050000</v>
      </c>
      <c r="I28" s="69">
        <f t="shared" si="1"/>
        <v>3.5878468426648297E-2</v>
      </c>
      <c r="J28" s="47">
        <f t="shared" si="2"/>
        <v>0.90354244191157085</v>
      </c>
      <c r="K28" s="13"/>
      <c r="L28" t="s">
        <v>0</v>
      </c>
    </row>
    <row r="29" spans="1:12" ht="17.25">
      <c r="A29" s="66" t="str">
        <f>+'S&amp;D'!A32</f>
        <v>WEC Energy Group</v>
      </c>
      <c r="B29" s="93" t="str">
        <f>+'S&amp;D'!B32</f>
        <v>WEC</v>
      </c>
      <c r="C29" s="329">
        <v>515100000</v>
      </c>
      <c r="D29" s="317">
        <f>+E29*1.09260215</f>
        <v>14961110500.165001</v>
      </c>
      <c r="E29" s="147">
        <v>13693100000</v>
      </c>
      <c r="F29" s="147">
        <f>+'S&amp;D'!G52</f>
        <v>14104500000</v>
      </c>
      <c r="G29" s="147">
        <f>+'S&amp;D'!J32</f>
        <v>15647400000</v>
      </c>
      <c r="H29" s="199">
        <f t="shared" si="0"/>
        <v>14532805250.0825</v>
      </c>
      <c r="I29" s="69">
        <f t="shared" si="1"/>
        <v>3.5443948441893275E-2</v>
      </c>
      <c r="J29" s="47">
        <f t="shared" si="2"/>
        <v>0.90139575903984048</v>
      </c>
      <c r="K29" s="13"/>
    </row>
    <row r="30" spans="1:12" ht="17.25" thickBot="1">
      <c r="A30" s="13"/>
      <c r="B30" s="13"/>
      <c r="C30" s="48"/>
      <c r="D30" s="48"/>
      <c r="E30" s="48"/>
      <c r="F30" s="48"/>
      <c r="G30" s="48" t="s">
        <v>55</v>
      </c>
      <c r="H30" s="48"/>
      <c r="I30" s="48" t="s">
        <v>55</v>
      </c>
      <c r="J30" s="48"/>
      <c r="K30" s="13"/>
    </row>
    <row r="31" spans="1:12" ht="17.25" thickTop="1">
      <c r="A31" s="13"/>
      <c r="B31" s="13"/>
      <c r="C31" s="49" t="s">
        <v>0</v>
      </c>
      <c r="D31" s="49" t="s">
        <v>0</v>
      </c>
      <c r="E31" s="36" t="s">
        <v>0</v>
      </c>
      <c r="F31" s="36"/>
      <c r="G31" s="49" t="s">
        <v>0</v>
      </c>
      <c r="H31" s="15" t="s">
        <v>56</v>
      </c>
      <c r="I31" s="55">
        <v>5.4899999999999997E-2</v>
      </c>
      <c r="J31" s="330">
        <v>0.95</v>
      </c>
      <c r="K31" s="13"/>
    </row>
    <row r="32" spans="1:12" ht="16.5">
      <c r="A32" s="200" t="s">
        <v>91</v>
      </c>
      <c r="B32" s="13"/>
      <c r="C32" s="49"/>
      <c r="D32" s="49"/>
      <c r="E32" s="36" t="s">
        <v>0</v>
      </c>
      <c r="F32" s="36"/>
      <c r="G32" s="49"/>
      <c r="H32" s="15" t="s">
        <v>57</v>
      </c>
      <c r="I32" s="308">
        <v>2.4299999999999999E-2</v>
      </c>
      <c r="J32" s="369">
        <v>0.85899999999999999</v>
      </c>
      <c r="K32" s="13"/>
    </row>
    <row r="33" spans="1:11" ht="16.5">
      <c r="A33" s="201" t="s">
        <v>297</v>
      </c>
      <c r="B33" s="13"/>
      <c r="C33" s="13"/>
      <c r="D33" s="13"/>
      <c r="E33" s="13"/>
      <c r="F33" s="13"/>
      <c r="G33" s="13"/>
      <c r="H33" s="15" t="s">
        <v>18</v>
      </c>
      <c r="I33" s="58">
        <f>MEDIAN(I19:I29)</f>
        <v>3.8274473276140378E-2</v>
      </c>
      <c r="J33" s="50">
        <f>MEDIAN(J19:J29)</f>
        <v>0.90139575903984048</v>
      </c>
      <c r="K33" s="13"/>
    </row>
    <row r="34" spans="1:11" ht="16.5">
      <c r="A34" s="201" t="s">
        <v>261</v>
      </c>
      <c r="B34" s="13"/>
      <c r="C34" s="13"/>
      <c r="D34" s="13"/>
      <c r="E34" s="13"/>
      <c r="F34" s="13"/>
      <c r="G34" s="13" t="s">
        <v>0</v>
      </c>
      <c r="H34" s="15" t="s">
        <v>474</v>
      </c>
      <c r="I34" s="58">
        <f>AVERAGE(I19:I29)</f>
        <v>3.6302841154245265E-2</v>
      </c>
      <c r="J34" s="50">
        <f>AVERAGE(J19:J29)</f>
        <v>0.89744244105125093</v>
      </c>
      <c r="K34" s="13"/>
    </row>
    <row r="35" spans="1:11" ht="17.25" thickBot="1">
      <c r="A35" s="13"/>
      <c r="B35" s="13"/>
      <c r="C35" s="13"/>
      <c r="D35" s="13" t="s">
        <v>0</v>
      </c>
      <c r="E35" s="13" t="s">
        <v>0</v>
      </c>
      <c r="F35" s="13"/>
      <c r="G35" s="13"/>
      <c r="H35" s="13"/>
      <c r="I35" s="13"/>
      <c r="J35" s="14"/>
      <c r="K35" s="13"/>
    </row>
    <row r="36" spans="1:11" ht="27" thickBot="1">
      <c r="A36" s="13"/>
      <c r="B36" s="13"/>
      <c r="C36" s="13" t="s">
        <v>0</v>
      </c>
      <c r="D36" s="386" t="s">
        <v>0</v>
      </c>
      <c r="E36" s="13" t="s">
        <v>0</v>
      </c>
      <c r="F36" s="13"/>
      <c r="G36" s="206"/>
      <c r="H36" s="207" t="s">
        <v>267</v>
      </c>
      <c r="I36" s="393">
        <v>3.85E-2</v>
      </c>
      <c r="J36" s="448">
        <v>8.9739999999999993E-3</v>
      </c>
      <c r="K36" s="13"/>
    </row>
    <row r="37" spans="1:11" ht="16.5">
      <c r="A37" s="13"/>
      <c r="B37" s="13"/>
      <c r="C37" s="13"/>
      <c r="D37" s="13"/>
      <c r="E37" s="13"/>
      <c r="F37" s="13"/>
      <c r="G37" s="13"/>
      <c r="H37" s="13"/>
      <c r="I37" s="13"/>
      <c r="J37" s="13"/>
      <c r="K37" s="13"/>
    </row>
    <row r="38" spans="1:11" ht="16.5">
      <c r="A38" s="13"/>
      <c r="B38" s="13"/>
      <c r="C38" s="13"/>
      <c r="D38" s="13"/>
      <c r="E38" s="13"/>
      <c r="F38" s="13"/>
      <c r="G38" s="13"/>
      <c r="H38" s="13"/>
      <c r="I38" s="13"/>
      <c r="J38" s="13"/>
      <c r="K38" s="13"/>
    </row>
    <row r="42" spans="1:11">
      <c r="C42" t="s">
        <v>0</v>
      </c>
    </row>
    <row r="43" spans="1:11">
      <c r="C43" t="s">
        <v>0</v>
      </c>
    </row>
    <row r="44" spans="1:11">
      <c r="C44" t="s">
        <v>0</v>
      </c>
    </row>
  </sheetData>
  <pageMargins left="0.25" right="0.25" top="0.75" bottom="0.75" header="0.3" footer="0.3"/>
  <pageSetup scale="56"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M63"/>
  <sheetViews>
    <sheetView view="pageBreakPreview" topLeftCell="A3" zoomScale="60" zoomScaleNormal="80" workbookViewId="0">
      <selection activeCell="K37" sqref="K37"/>
    </sheetView>
  </sheetViews>
  <sheetFormatPr defaultRowHeight="15"/>
  <cols>
    <col min="1" max="1" width="43.140625" customWidth="1"/>
    <col min="2" max="2" width="10.85546875" bestFit="1" customWidth="1"/>
    <col min="3" max="3" width="28.85546875" customWidth="1"/>
    <col min="4" max="4" width="18.5703125" customWidth="1"/>
    <col min="5" max="5" width="21.85546875" customWidth="1"/>
    <col min="6" max="6" width="18" customWidth="1"/>
    <col min="7" max="7" width="12.28515625" customWidth="1"/>
    <col min="8" max="8" width="20.5703125" customWidth="1"/>
    <col min="9" max="9" width="12.42578125" customWidth="1"/>
    <col min="10" max="11" width="20.5703125" customWidth="1"/>
    <col min="12" max="12" width="26.5703125" customWidth="1"/>
    <col min="13" max="13" width="12" customWidth="1"/>
  </cols>
  <sheetData>
    <row r="1" spans="1:13" ht="26.25">
      <c r="A1" s="25" t="s">
        <v>1</v>
      </c>
      <c r="B1" s="13"/>
      <c r="C1" s="13"/>
      <c r="D1" s="13"/>
      <c r="E1" s="13"/>
      <c r="F1" s="13"/>
      <c r="G1" s="13"/>
      <c r="H1" s="13"/>
      <c r="I1" s="13"/>
      <c r="J1" s="13"/>
      <c r="K1" s="13"/>
      <c r="L1" s="13"/>
      <c r="M1" s="13"/>
    </row>
    <row r="2" spans="1:13" ht="17.25">
      <c r="A2" s="26" t="s">
        <v>9</v>
      </c>
      <c r="B2" s="13"/>
      <c r="C2" s="13"/>
      <c r="D2" s="13"/>
      <c r="E2" s="13"/>
      <c r="F2" s="13"/>
      <c r="G2" s="13"/>
      <c r="H2" s="13"/>
      <c r="I2" s="13"/>
      <c r="J2" s="13"/>
      <c r="K2" s="13"/>
      <c r="L2" s="13"/>
      <c r="M2" s="13"/>
    </row>
    <row r="3" spans="1:13" ht="16.5">
      <c r="A3" s="27" t="s">
        <v>81</v>
      </c>
      <c r="B3" s="13"/>
      <c r="C3" s="13"/>
      <c r="D3" s="13"/>
      <c r="E3" s="13"/>
      <c r="F3" s="13"/>
      <c r="G3" s="13"/>
      <c r="H3" s="13"/>
      <c r="I3" s="13"/>
      <c r="J3" s="13"/>
      <c r="K3" s="13"/>
      <c r="L3" s="13"/>
      <c r="M3" s="13"/>
    </row>
    <row r="4" spans="1:13" ht="16.5">
      <c r="A4" s="27"/>
      <c r="B4" s="13"/>
      <c r="C4" s="13"/>
      <c r="D4" s="13"/>
      <c r="E4" s="13"/>
      <c r="F4" s="13"/>
      <c r="G4" s="13"/>
      <c r="H4" s="13"/>
      <c r="I4" s="13"/>
      <c r="J4" s="13"/>
      <c r="K4" s="13"/>
      <c r="L4" s="13"/>
      <c r="M4" s="13"/>
    </row>
    <row r="5" spans="1:13" ht="17.25" thickBot="1">
      <c r="A5" s="13"/>
      <c r="B5" s="13"/>
      <c r="C5" s="13"/>
      <c r="D5" s="13"/>
      <c r="E5" s="13"/>
      <c r="F5" s="13"/>
      <c r="G5" s="28"/>
      <c r="H5" s="28"/>
      <c r="I5" s="13"/>
      <c r="J5" s="13"/>
      <c r="K5" s="13"/>
      <c r="L5" s="13"/>
      <c r="M5" s="13"/>
    </row>
    <row r="6" spans="1:13" ht="21" thickBot="1">
      <c r="A6" s="281" t="str">
        <f>+'S&amp;D'!A12</f>
        <v>Natural Gas Utility Distribution</v>
      </c>
      <c r="B6" s="211"/>
      <c r="C6" s="13"/>
      <c r="D6" s="30"/>
      <c r="E6" s="30"/>
      <c r="F6" s="31" t="s">
        <v>0</v>
      </c>
      <c r="G6" s="13"/>
      <c r="H6" s="13"/>
      <c r="I6" s="13"/>
      <c r="J6" s="13"/>
      <c r="K6" s="13"/>
      <c r="L6" s="13"/>
      <c r="M6" s="13"/>
    </row>
    <row r="7" spans="1:13" ht="26.25">
      <c r="A7" s="32"/>
      <c r="B7" s="13"/>
      <c r="C7" s="13"/>
      <c r="D7" s="13"/>
      <c r="E7" s="33" t="s">
        <v>150</v>
      </c>
      <c r="F7" s="13"/>
      <c r="G7" s="13"/>
      <c r="H7" s="13"/>
      <c r="I7" s="13"/>
      <c r="J7" s="13"/>
      <c r="K7" s="13"/>
      <c r="L7" s="13"/>
      <c r="M7" s="13"/>
    </row>
    <row r="8" spans="1:13" ht="21" thickBot="1">
      <c r="A8" s="32"/>
      <c r="B8" s="13"/>
      <c r="C8" s="13"/>
      <c r="D8" s="30"/>
      <c r="E8" s="34" t="s">
        <v>95</v>
      </c>
      <c r="F8" s="30"/>
      <c r="G8" s="13"/>
      <c r="H8" s="13"/>
      <c r="I8" s="13"/>
      <c r="J8" s="13"/>
      <c r="K8" s="13"/>
      <c r="L8" s="13"/>
      <c r="M8" s="13"/>
    </row>
    <row r="9" spans="1:13" ht="17.25" thickBot="1">
      <c r="A9" s="35" t="s">
        <v>0</v>
      </c>
      <c r="B9" s="35" t="s">
        <v>0</v>
      </c>
      <c r="C9" s="35" t="s">
        <v>0</v>
      </c>
      <c r="D9" s="35" t="s">
        <v>0</v>
      </c>
      <c r="E9" s="35" t="s">
        <v>0</v>
      </c>
      <c r="F9" s="35" t="s">
        <v>0</v>
      </c>
      <c r="G9" s="35"/>
      <c r="H9" s="35"/>
      <c r="I9" s="35" t="s">
        <v>0</v>
      </c>
      <c r="J9" s="30"/>
      <c r="K9" s="13"/>
      <c r="L9" s="13"/>
      <c r="M9" s="13"/>
    </row>
    <row r="10" spans="1:13" ht="16.5">
      <c r="A10" s="36" t="s">
        <v>0</v>
      </c>
      <c r="B10" s="36" t="s">
        <v>3</v>
      </c>
      <c r="C10" s="36" t="s">
        <v>5</v>
      </c>
      <c r="D10" s="36" t="s">
        <v>21</v>
      </c>
      <c r="E10" s="36" t="s">
        <v>20</v>
      </c>
      <c r="F10" s="36" t="s">
        <v>65</v>
      </c>
      <c r="G10" s="36" t="s">
        <v>153</v>
      </c>
      <c r="H10" s="36" t="s">
        <v>60</v>
      </c>
      <c r="I10" s="36" t="s">
        <v>153</v>
      </c>
      <c r="J10" s="36" t="s">
        <v>60</v>
      </c>
      <c r="K10" s="13"/>
      <c r="L10" s="13"/>
      <c r="M10" s="13"/>
    </row>
    <row r="11" spans="1:13" ht="17.25" thickBot="1">
      <c r="A11" s="38" t="s">
        <v>2</v>
      </c>
      <c r="B11" s="38" t="s">
        <v>4</v>
      </c>
      <c r="C11" s="38" t="s">
        <v>6</v>
      </c>
      <c r="D11" s="38" t="s">
        <v>23</v>
      </c>
      <c r="E11" s="38" t="s">
        <v>22</v>
      </c>
      <c r="F11" s="38" t="s">
        <v>61</v>
      </c>
      <c r="G11" s="38" t="s">
        <v>61</v>
      </c>
      <c r="H11" s="38" t="s">
        <v>61</v>
      </c>
      <c r="I11" s="38" t="s">
        <v>61</v>
      </c>
      <c r="J11" s="38" t="s">
        <v>63</v>
      </c>
      <c r="K11" s="13"/>
      <c r="L11" s="13"/>
      <c r="M11" s="13"/>
    </row>
    <row r="12" spans="1:13" ht="16.5">
      <c r="A12" s="40" t="s">
        <v>7</v>
      </c>
      <c r="B12" s="40" t="s">
        <v>7</v>
      </c>
      <c r="C12" s="40" t="s">
        <v>7</v>
      </c>
      <c r="D12" s="40" t="s">
        <v>7</v>
      </c>
      <c r="E12" s="40" t="s">
        <v>7</v>
      </c>
      <c r="F12" s="40" t="s">
        <v>64</v>
      </c>
      <c r="G12" s="40"/>
      <c r="H12" s="40" t="s">
        <v>60</v>
      </c>
      <c r="I12" s="40"/>
      <c r="J12" s="40" t="s">
        <v>60</v>
      </c>
      <c r="K12" s="13"/>
      <c r="L12" s="13"/>
      <c r="M12" s="13"/>
    </row>
    <row r="13" spans="1:13" ht="16.5">
      <c r="A13" s="36"/>
      <c r="B13" s="36"/>
      <c r="C13" s="36"/>
      <c r="D13" s="36"/>
      <c r="E13" s="36"/>
      <c r="F13" s="36"/>
      <c r="G13" s="36"/>
      <c r="H13" s="36"/>
      <c r="I13" s="36"/>
      <c r="J13" s="36"/>
      <c r="K13" s="13"/>
      <c r="L13" s="13"/>
      <c r="M13" s="13"/>
    </row>
    <row r="14" spans="1:13" ht="16.5">
      <c r="A14" s="13"/>
      <c r="B14" s="13"/>
      <c r="C14" s="13"/>
      <c r="D14" s="13"/>
      <c r="E14" s="13"/>
      <c r="F14" s="13"/>
      <c r="G14" s="13"/>
      <c r="H14" s="13"/>
      <c r="I14" s="13"/>
      <c r="J14" s="13"/>
      <c r="K14" s="13"/>
      <c r="L14" s="13"/>
      <c r="M14" s="13"/>
    </row>
    <row r="15" spans="1:13" ht="17.25">
      <c r="A15" s="66" t="str">
        <f>+'S&amp;D'!A22</f>
        <v>Atmos Energy Corp</v>
      </c>
      <c r="B15" s="93" t="str">
        <f>+'S&amp;D'!B22</f>
        <v>ATO</v>
      </c>
      <c r="C15" s="93" t="str">
        <f>+'S&amp;D'!C22</f>
        <v>Gas Utility</v>
      </c>
      <c r="D15" s="56">
        <f>+'Beta for CAPM'!D18</f>
        <v>9.0999999999999998E-2</v>
      </c>
      <c r="E15" s="36" t="str">
        <f>+'Beta for CAPM'!G18</f>
        <v>A+</v>
      </c>
      <c r="F15" s="36" t="s">
        <v>77</v>
      </c>
      <c r="G15" s="309">
        <v>9</v>
      </c>
      <c r="H15" s="65" t="s">
        <v>73</v>
      </c>
      <c r="I15" s="309">
        <v>7</v>
      </c>
      <c r="J15" s="69">
        <v>5.6399999999999999E-2</v>
      </c>
      <c r="K15" s="13" t="s">
        <v>0</v>
      </c>
      <c r="L15" s="13"/>
      <c r="M15" s="13"/>
    </row>
    <row r="16" spans="1:13" ht="17.25">
      <c r="A16" s="66" t="str">
        <f>+'S&amp;D'!A23</f>
        <v>Black Hills Corporation</v>
      </c>
      <c r="B16" s="93" t="str">
        <f>+'S&amp;D'!B23</f>
        <v>BKH</v>
      </c>
      <c r="C16" s="93" t="str">
        <f>+'S&amp;D'!C23</f>
        <v>Electric Utility - West</v>
      </c>
      <c r="D16" s="56">
        <f>+'Beta for CAPM'!D19</f>
        <v>2.8000000000000001E-2</v>
      </c>
      <c r="E16" s="36" t="str">
        <f>+'Beta for CAPM'!G19</f>
        <v>A</v>
      </c>
      <c r="F16" s="36" t="s">
        <v>69</v>
      </c>
      <c r="G16" s="309">
        <v>10</v>
      </c>
      <c r="H16" s="65" t="s">
        <v>68</v>
      </c>
      <c r="I16" s="309">
        <v>11</v>
      </c>
      <c r="J16" s="69">
        <v>5.9299999999999999E-2</v>
      </c>
      <c r="K16" s="13" t="s">
        <v>0</v>
      </c>
      <c r="L16" s="13"/>
      <c r="M16" s="13"/>
    </row>
    <row r="17" spans="1:13" ht="17.25">
      <c r="A17" s="66" t="str">
        <f>+'S&amp;D'!A24</f>
        <v>CenterPoint Energy Inc.</v>
      </c>
      <c r="B17" s="93" t="str">
        <f>+'S&amp;D'!B24</f>
        <v>CNP</v>
      </c>
      <c r="C17" s="93" t="str">
        <f>+'S&amp;D'!C24</f>
        <v>Electric Utility - Central</v>
      </c>
      <c r="D17" s="56">
        <f>+'Beta for CAPM'!D20</f>
        <v>0.2</v>
      </c>
      <c r="E17" s="36" t="str">
        <f>+'Beta for CAPM'!G20</f>
        <v>B++</v>
      </c>
      <c r="F17" s="36" t="s">
        <v>69</v>
      </c>
      <c r="G17" s="309">
        <v>10</v>
      </c>
      <c r="H17" s="65" t="s">
        <v>68</v>
      </c>
      <c r="I17" s="309">
        <v>11</v>
      </c>
      <c r="J17" s="69">
        <v>5.9299999999999999E-2</v>
      </c>
      <c r="K17" s="13" t="s">
        <v>0</v>
      </c>
      <c r="L17" s="13"/>
      <c r="M17" s="13"/>
    </row>
    <row r="18" spans="1:13" ht="17.25">
      <c r="A18" s="66" t="str">
        <f>+'S&amp;D'!A25</f>
        <v>CMS Energy Corporation</v>
      </c>
      <c r="B18" s="93" t="str">
        <f>+'S&amp;D'!B25</f>
        <v>CMS</v>
      </c>
      <c r="C18" s="93" t="str">
        <f>+'S&amp;D'!C25</f>
        <v>Electric Utility - Central</v>
      </c>
      <c r="D18" s="56">
        <f>+'Beta for CAPM'!D21</f>
        <v>0.10299999999999999</v>
      </c>
      <c r="E18" s="36" t="str">
        <f>+'Beta for CAPM'!G21</f>
        <v>A</v>
      </c>
      <c r="F18" s="36" t="s">
        <v>69</v>
      </c>
      <c r="G18" s="309">
        <v>10</v>
      </c>
      <c r="H18" s="65" t="s">
        <v>68</v>
      </c>
      <c r="I18" s="309">
        <v>11</v>
      </c>
      <c r="J18" s="69">
        <v>5.9299999999999999E-2</v>
      </c>
      <c r="K18" s="13" t="s">
        <v>0</v>
      </c>
      <c r="L18" s="13"/>
      <c r="M18" s="13"/>
    </row>
    <row r="19" spans="1:13" ht="17.25">
      <c r="A19" s="66" t="str">
        <f>+'S&amp;D'!A26</f>
        <v>New Jersey Resources Corp</v>
      </c>
      <c r="B19" s="93" t="str">
        <f>+'S&amp;D'!B26</f>
        <v>NJR</v>
      </c>
      <c r="C19" s="93" t="str">
        <f>+'S&amp;D'!C26</f>
        <v>Gas Utility</v>
      </c>
      <c r="D19" s="56">
        <f>+'Beta for CAPM'!D22</f>
        <v>0.214</v>
      </c>
      <c r="E19" s="36" t="str">
        <f>+'Beta for CAPM'!G22</f>
        <v>A+</v>
      </c>
      <c r="F19" s="36" t="s">
        <v>77</v>
      </c>
      <c r="G19" s="309">
        <v>9</v>
      </c>
      <c r="H19" s="65" t="s">
        <v>73</v>
      </c>
      <c r="I19" s="309">
        <v>7</v>
      </c>
      <c r="J19" s="69">
        <v>5.6399999999999999E-2</v>
      </c>
      <c r="K19" s="13" t="s">
        <v>0</v>
      </c>
      <c r="L19" s="13"/>
      <c r="M19" s="13"/>
    </row>
    <row r="20" spans="1:13" ht="17.25">
      <c r="A20" s="66" t="str">
        <f>+'S&amp;D'!A27</f>
        <v>NISOURCE Inc.</v>
      </c>
      <c r="B20" s="93" t="str">
        <f>+'S&amp;D'!B27</f>
        <v>NI</v>
      </c>
      <c r="C20" s="93" t="str">
        <f>+'S&amp;D'!C27</f>
        <v>Gas Utility</v>
      </c>
      <c r="D20" s="56">
        <f>+'Beta for CAPM'!D23</f>
        <v>0.19</v>
      </c>
      <c r="E20" s="36" t="str">
        <f>+'Beta for CAPM'!G23</f>
        <v>B+</v>
      </c>
      <c r="F20" s="36" t="s">
        <v>69</v>
      </c>
      <c r="G20" s="309">
        <v>10</v>
      </c>
      <c r="H20" s="65" t="s">
        <v>68</v>
      </c>
      <c r="I20" s="309">
        <v>11</v>
      </c>
      <c r="J20" s="69">
        <v>5.9299999999999999E-2</v>
      </c>
      <c r="K20" s="13" t="s">
        <v>0</v>
      </c>
      <c r="L20" s="13"/>
      <c r="M20" s="13"/>
    </row>
    <row r="21" spans="1:13" ht="17.25">
      <c r="A21" s="66" t="str">
        <f>+'S&amp;D'!A28</f>
        <v xml:space="preserve">Northwest Natural Holding Company </v>
      </c>
      <c r="B21" s="93" t="str">
        <f>+'S&amp;D'!B28</f>
        <v>NWN</v>
      </c>
      <c r="C21" s="93" t="str">
        <f>+'S&amp;D'!C28</f>
        <v>Gas Utility</v>
      </c>
      <c r="D21" s="56">
        <f>+'Beta for CAPM'!D24</f>
        <v>0.21</v>
      </c>
      <c r="E21" s="36" t="str">
        <f>+'Beta for CAPM'!G24</f>
        <v>A</v>
      </c>
      <c r="F21" s="36" t="s">
        <v>54</v>
      </c>
      <c r="G21" s="309">
        <v>7</v>
      </c>
      <c r="H21" s="65" t="s">
        <v>67</v>
      </c>
      <c r="I21" s="309">
        <v>10</v>
      </c>
      <c r="J21" s="69">
        <v>5.9299999999999999E-2</v>
      </c>
      <c r="K21" s="14" t="s">
        <v>0</v>
      </c>
      <c r="L21" s="13"/>
      <c r="M21" s="13"/>
    </row>
    <row r="22" spans="1:13" ht="17.25">
      <c r="A22" s="66" t="str">
        <f>+'S&amp;D'!A29</f>
        <v>One Gas INC</v>
      </c>
      <c r="B22" s="93" t="str">
        <f>+'S&amp;D'!B29</f>
        <v>OGS</v>
      </c>
      <c r="C22" s="93" t="str">
        <f>+'S&amp;D'!C29</f>
        <v>Gas Utility</v>
      </c>
      <c r="D22" s="56">
        <f>+'Beta for CAPM'!D25</f>
        <v>0.17499999999999999</v>
      </c>
      <c r="E22" s="36" t="str">
        <f>+'Beta for CAPM'!G25</f>
        <v>B++</v>
      </c>
      <c r="F22" s="36" t="s">
        <v>77</v>
      </c>
      <c r="G22" s="309">
        <v>9</v>
      </c>
      <c r="H22" s="65" t="s">
        <v>75</v>
      </c>
      <c r="I22" s="309">
        <v>9</v>
      </c>
      <c r="J22" s="69">
        <v>5.6399999999999999E-2</v>
      </c>
      <c r="K22" s="13" t="s">
        <v>0</v>
      </c>
      <c r="L22" s="13"/>
      <c r="M22" s="13"/>
    </row>
    <row r="23" spans="1:13" ht="17.25">
      <c r="A23" s="66" t="str">
        <f>+'S&amp;D'!A30</f>
        <v>Southwest Gas Holdings, Inc</v>
      </c>
      <c r="B23" s="93" t="str">
        <f>+'S&amp;D'!B30</f>
        <v>SWX</v>
      </c>
      <c r="C23" s="93" t="str">
        <f>+'S&amp;D'!C30</f>
        <v>Gas Utility</v>
      </c>
      <c r="D23" s="56">
        <f>+'Beta for CAPM'!D26</f>
        <v>0.21</v>
      </c>
      <c r="E23" s="36" t="s">
        <v>26</v>
      </c>
      <c r="F23" s="36" t="s">
        <v>70</v>
      </c>
      <c r="G23" s="309">
        <v>11</v>
      </c>
      <c r="H23" s="65" t="s">
        <v>68</v>
      </c>
      <c r="I23" s="309">
        <v>11</v>
      </c>
      <c r="J23" s="69">
        <v>5.9299999999999999E-2</v>
      </c>
      <c r="K23" s="13"/>
      <c r="L23" s="13"/>
      <c r="M23" s="13"/>
    </row>
    <row r="24" spans="1:13" ht="17.25">
      <c r="A24" s="66" t="str">
        <f>+'S&amp;D'!A31</f>
        <v>Spire Inc / Laclede Group Inc</v>
      </c>
      <c r="B24" s="93" t="str">
        <f>+'S&amp;D'!B31</f>
        <v>SR</v>
      </c>
      <c r="C24" s="93" t="str">
        <f>+'S&amp;D'!C31</f>
        <v>Gas Utility</v>
      </c>
      <c r="D24" s="56">
        <f>+'Beta for CAPM'!D27</f>
        <v>0.21099999999999999</v>
      </c>
      <c r="E24" s="36" t="str">
        <f>+'Beta for CAPM'!G27</f>
        <v>B++</v>
      </c>
      <c r="F24" s="36" t="s">
        <v>77</v>
      </c>
      <c r="G24" s="309">
        <v>9</v>
      </c>
      <c r="H24" s="65" t="s">
        <v>68</v>
      </c>
      <c r="I24" s="309">
        <v>11</v>
      </c>
      <c r="J24" s="69">
        <v>5.9299999999999999E-2</v>
      </c>
      <c r="K24" s="13" t="s">
        <v>0</v>
      </c>
      <c r="L24" s="13"/>
      <c r="M24" s="13"/>
    </row>
    <row r="25" spans="1:13" ht="17.25">
      <c r="A25" s="66" t="str">
        <f>+'S&amp;D'!A32</f>
        <v>WEC Energy Group</v>
      </c>
      <c r="B25" s="93" t="str">
        <f>+'S&amp;D'!B32</f>
        <v>WEC</v>
      </c>
      <c r="C25" s="93" t="str">
        <f>+'S&amp;D'!C32</f>
        <v>Electric Utility - Central</v>
      </c>
      <c r="D25" s="56">
        <f>+'Beta for CAPM'!D28</f>
        <v>0.186</v>
      </c>
      <c r="E25" s="36" t="str">
        <f>+'Beta for CAPM'!G28</f>
        <v>A+</v>
      </c>
      <c r="F25" s="36" t="s">
        <v>77</v>
      </c>
      <c r="G25" s="309">
        <v>9</v>
      </c>
      <c r="H25" s="65" t="s">
        <v>67</v>
      </c>
      <c r="I25" s="309">
        <v>10</v>
      </c>
      <c r="J25" s="69">
        <v>5.9299999999999999E-2</v>
      </c>
      <c r="K25" s="13" t="s">
        <v>0</v>
      </c>
      <c r="L25" s="13"/>
      <c r="M25" s="13"/>
    </row>
    <row r="26" spans="1:13" ht="17.25" thickBot="1">
      <c r="A26" s="13"/>
      <c r="B26" s="13"/>
      <c r="C26" s="45"/>
      <c r="D26" s="48"/>
      <c r="E26" s="48"/>
      <c r="F26" s="48"/>
      <c r="G26" s="304"/>
      <c r="H26" s="48" t="s">
        <v>55</v>
      </c>
      <c r="I26" s="48"/>
      <c r="J26" s="48"/>
      <c r="K26" s="13"/>
      <c r="L26" s="13"/>
      <c r="M26" s="13"/>
    </row>
    <row r="27" spans="1:13" ht="17.25" thickTop="1">
      <c r="A27" s="13"/>
      <c r="B27" s="13"/>
      <c r="E27" s="15" t="s">
        <v>56</v>
      </c>
      <c r="F27" s="36"/>
      <c r="G27" s="303">
        <v>11</v>
      </c>
      <c r="I27" s="303">
        <v>11</v>
      </c>
      <c r="J27" s="55">
        <v>7.2400000000000006E-2</v>
      </c>
      <c r="K27" s="13"/>
      <c r="L27" s="13"/>
      <c r="M27" s="13"/>
    </row>
    <row r="28" spans="1:13" ht="16.5">
      <c r="A28" s="13"/>
      <c r="B28" s="13"/>
      <c r="E28" s="306" t="s">
        <v>57</v>
      </c>
      <c r="F28" s="136"/>
      <c r="G28" s="307">
        <v>7</v>
      </c>
      <c r="H28" s="261"/>
      <c r="I28" s="307">
        <v>7</v>
      </c>
      <c r="J28" s="308">
        <v>5.4800000000000001E-2</v>
      </c>
      <c r="K28" s="13"/>
      <c r="L28" s="13"/>
      <c r="M28" s="13"/>
    </row>
    <row r="29" spans="1:13" ht="16.5">
      <c r="A29" s="13"/>
      <c r="B29" s="13"/>
      <c r="E29" s="15" t="s">
        <v>18</v>
      </c>
      <c r="F29" s="58" t="s">
        <v>0</v>
      </c>
      <c r="G29" s="235">
        <f>MEDIAN(G15:G25)</f>
        <v>9</v>
      </c>
      <c r="I29" s="235">
        <f>MEDIAN(I15:I25)</f>
        <v>11</v>
      </c>
      <c r="J29" s="58">
        <f>MEDIAN(J15:J25)</f>
        <v>5.9299999999999999E-2</v>
      </c>
      <c r="K29" s="13"/>
      <c r="L29" s="13"/>
      <c r="M29" s="13"/>
    </row>
    <row r="30" spans="1:13" ht="16.5">
      <c r="A30" s="13"/>
      <c r="B30" s="13"/>
      <c r="D30" s="15" t="s">
        <v>0</v>
      </c>
      <c r="E30" s="15" t="s">
        <v>474</v>
      </c>
      <c r="F30" s="15"/>
      <c r="G30" s="236">
        <f>AVERAGE(G15:G25)</f>
        <v>9.3636363636363633</v>
      </c>
      <c r="I30" s="236">
        <f>AVERAGE(I15:I25)</f>
        <v>9.9090909090909083</v>
      </c>
      <c r="J30" s="58">
        <f>AVERAGE(J15:J25)</f>
        <v>5.8509090909090913E-2</v>
      </c>
      <c r="K30" s="13"/>
      <c r="L30" s="13"/>
      <c r="M30" s="13"/>
    </row>
    <row r="31" spans="1:13" ht="16.5">
      <c r="A31" s="13"/>
      <c r="B31" s="13"/>
      <c r="D31" s="59" t="s">
        <v>0</v>
      </c>
      <c r="E31" s="15" t="s">
        <v>296</v>
      </c>
      <c r="F31" s="15"/>
      <c r="G31" s="236">
        <f>TRIMMEAN(G15:G25,(2/COUNT(G15:G25)))</f>
        <v>9.4444444444444446</v>
      </c>
      <c r="I31" s="236">
        <f>TRIMMEAN(I15:I25,(2/COUNT(I15:I25)))</f>
        <v>10.111111111111111</v>
      </c>
      <c r="J31" s="58">
        <f>TRIMMEAN(J15:J25,(2/COUNT(J15:J25)))</f>
        <v>5.8655555555555558E-2</v>
      </c>
      <c r="K31" s="13"/>
      <c r="L31" s="13"/>
      <c r="M31" s="13"/>
    </row>
    <row r="32" spans="1:13" ht="17.25" thickBot="1">
      <c r="A32" s="13"/>
      <c r="B32" s="13"/>
      <c r="C32" s="13"/>
      <c r="D32" s="13"/>
      <c r="E32" s="15"/>
      <c r="F32" s="59"/>
      <c r="G32" s="13"/>
      <c r="H32" s="13"/>
      <c r="I32" s="13"/>
      <c r="J32" s="13"/>
      <c r="K32" s="13"/>
      <c r="L32" s="13"/>
      <c r="M32" s="13"/>
    </row>
    <row r="33" spans="1:13" ht="27" thickBot="1">
      <c r="A33" s="13"/>
      <c r="B33" s="13"/>
      <c r="C33" s="13"/>
      <c r="D33" s="13"/>
      <c r="E33" s="13"/>
      <c r="F33" s="206"/>
      <c r="G33" s="305"/>
      <c r="H33" s="207" t="s">
        <v>267</v>
      </c>
      <c r="I33" s="392">
        <v>10</v>
      </c>
      <c r="J33" s="393">
        <v>5.8500000000000003E-2</v>
      </c>
      <c r="K33" s="13"/>
      <c r="L33" s="13"/>
      <c r="M33" s="13"/>
    </row>
    <row r="34" spans="1:13" ht="16.5">
      <c r="A34" s="13"/>
      <c r="B34" s="13"/>
      <c r="C34" s="13"/>
      <c r="D34" s="13"/>
      <c r="E34" s="13"/>
      <c r="F34" s="13"/>
      <c r="G34" s="13"/>
      <c r="H34" s="13"/>
      <c r="I34" s="13"/>
      <c r="J34" s="13"/>
      <c r="K34" s="13"/>
      <c r="L34" s="13"/>
      <c r="M34" s="13"/>
    </row>
    <row r="35" spans="1:13" ht="16.5">
      <c r="A35" s="13"/>
      <c r="B35" s="13"/>
      <c r="C35" s="13"/>
      <c r="D35" s="13"/>
      <c r="E35" s="13"/>
      <c r="F35" s="13"/>
      <c r="G35" s="13"/>
      <c r="H35" s="13"/>
      <c r="I35" s="13"/>
      <c r="J35" s="13"/>
      <c r="K35" s="13"/>
      <c r="L35" s="13"/>
      <c r="M35" s="13"/>
    </row>
    <row r="36" spans="1:13" ht="16.5">
      <c r="A36" s="13"/>
      <c r="B36" s="13"/>
      <c r="C36" s="13"/>
      <c r="D36" s="13"/>
      <c r="E36" s="13"/>
      <c r="F36" s="13"/>
      <c r="G36" s="13"/>
      <c r="H36" s="13"/>
      <c r="I36" s="13"/>
      <c r="J36" s="13"/>
      <c r="K36" s="13"/>
      <c r="L36" s="13"/>
      <c r="M36" s="13"/>
    </row>
    <row r="37" spans="1:13" ht="21" thickBot="1">
      <c r="A37" s="292" t="s">
        <v>167</v>
      </c>
      <c r="B37" s="13"/>
      <c r="G37" s="13"/>
      <c r="H37" s="13"/>
      <c r="I37" s="13"/>
      <c r="J37" s="13"/>
      <c r="K37" s="13"/>
      <c r="L37" s="13"/>
      <c r="M37" s="13"/>
    </row>
    <row r="38" spans="1:13" ht="27" thickBot="1">
      <c r="A38" s="422" t="s">
        <v>427</v>
      </c>
      <c r="B38" s="422" t="s">
        <v>365</v>
      </c>
      <c r="C38" s="422" t="s">
        <v>476</v>
      </c>
      <c r="D38" s="423" t="s">
        <v>477</v>
      </c>
      <c r="E38" s="423" t="s">
        <v>478</v>
      </c>
      <c r="F38" s="13"/>
      <c r="G38" s="13"/>
      <c r="H38" s="13"/>
      <c r="I38" s="13"/>
      <c r="M38" s="13"/>
    </row>
    <row r="39" spans="1:13" ht="17.25">
      <c r="A39" s="298" t="s">
        <v>370</v>
      </c>
      <c r="B39" s="299">
        <v>1</v>
      </c>
      <c r="C39" s="300" t="s">
        <v>371</v>
      </c>
      <c r="D39" s="424" t="s">
        <v>0</v>
      </c>
      <c r="E39" s="424" t="s">
        <v>0</v>
      </c>
      <c r="F39" s="13"/>
      <c r="G39" s="13"/>
      <c r="H39" s="13"/>
      <c r="I39" s="13"/>
      <c r="M39" s="13"/>
    </row>
    <row r="40" spans="1:13" ht="17.25">
      <c r="A40" s="61" t="s">
        <v>372</v>
      </c>
      <c r="B40" s="294">
        <v>2</v>
      </c>
      <c r="C40" s="301" t="s">
        <v>353</v>
      </c>
      <c r="D40" s="352">
        <v>4.8099999999999997E-2</v>
      </c>
      <c r="E40" s="352">
        <v>4.8099999999999997E-2</v>
      </c>
      <c r="F40" s="13" t="s">
        <v>221</v>
      </c>
      <c r="H40" s="13"/>
      <c r="I40" s="13"/>
      <c r="J40" s="13"/>
      <c r="M40" s="13"/>
    </row>
    <row r="41" spans="1:13" ht="18" thickBot="1">
      <c r="A41" s="62" t="s">
        <v>373</v>
      </c>
      <c r="B41" s="296">
        <v>3</v>
      </c>
      <c r="C41" s="302" t="s">
        <v>374</v>
      </c>
      <c r="D41" s="425" t="s">
        <v>0</v>
      </c>
      <c r="E41" s="425" t="s">
        <v>0</v>
      </c>
      <c r="F41" s="13"/>
      <c r="H41" s="13"/>
      <c r="I41" s="13"/>
      <c r="J41" s="13"/>
      <c r="M41" s="13"/>
    </row>
    <row r="42" spans="1:13" ht="17.25">
      <c r="A42" s="61" t="s">
        <v>166</v>
      </c>
      <c r="B42" s="294">
        <v>4</v>
      </c>
      <c r="C42" s="295" t="s">
        <v>354</v>
      </c>
      <c r="D42" s="352" t="s">
        <v>0</v>
      </c>
      <c r="E42" s="352" t="s">
        <v>0</v>
      </c>
      <c r="F42" s="13"/>
      <c r="H42" s="13"/>
      <c r="I42" s="13"/>
      <c r="J42" s="13"/>
      <c r="M42" s="13"/>
    </row>
    <row r="43" spans="1:13" ht="17.25">
      <c r="A43" s="61" t="s">
        <v>165</v>
      </c>
      <c r="B43" s="294">
        <v>5</v>
      </c>
      <c r="C43" s="295" t="s">
        <v>355</v>
      </c>
      <c r="D43" s="352">
        <v>5.1299999999999998E-2</v>
      </c>
      <c r="E43" s="352">
        <v>5.4300000000000001E-2</v>
      </c>
      <c r="F43" s="13" t="s">
        <v>356</v>
      </c>
      <c r="H43" s="13"/>
      <c r="I43" s="13"/>
      <c r="J43" s="13"/>
      <c r="M43" s="13"/>
    </row>
    <row r="44" spans="1:13" ht="18" thickBot="1">
      <c r="A44" s="62" t="s">
        <v>164</v>
      </c>
      <c r="B44" s="296">
        <v>6</v>
      </c>
      <c r="C44" s="297" t="s">
        <v>194</v>
      </c>
      <c r="D44" s="426" t="s">
        <v>0</v>
      </c>
      <c r="E44" s="426" t="s">
        <v>0</v>
      </c>
      <c r="F44" s="13"/>
      <c r="H44" s="13"/>
      <c r="I44" s="13"/>
      <c r="J44" s="13"/>
      <c r="M44" s="13"/>
    </row>
    <row r="45" spans="1:13" ht="17.25">
      <c r="A45" s="61" t="s">
        <v>73</v>
      </c>
      <c r="B45" s="294">
        <v>7</v>
      </c>
      <c r="C45" s="295" t="s">
        <v>54</v>
      </c>
      <c r="D45" s="427" t="s">
        <v>0</v>
      </c>
      <c r="E45" s="427" t="s">
        <v>0</v>
      </c>
      <c r="H45" s="13"/>
      <c r="I45" s="13"/>
      <c r="J45" s="13"/>
      <c r="M45" s="13"/>
    </row>
    <row r="46" spans="1:13" ht="17.25">
      <c r="A46" s="61" t="s">
        <v>163</v>
      </c>
      <c r="B46" s="294">
        <v>8</v>
      </c>
      <c r="C46" s="295" t="s">
        <v>24</v>
      </c>
      <c r="D46" s="353">
        <v>5.4800000000000001E-2</v>
      </c>
      <c r="E46" s="353">
        <v>5.6399999999999999E-2</v>
      </c>
      <c r="F46" s="13" t="s">
        <v>222</v>
      </c>
      <c r="H46" s="13"/>
      <c r="I46" s="13"/>
      <c r="J46" s="13"/>
      <c r="K46" s="13"/>
      <c r="L46" s="13"/>
      <c r="M46" s="13"/>
    </row>
    <row r="47" spans="1:13" ht="18" thickBot="1">
      <c r="A47" s="62" t="s">
        <v>75</v>
      </c>
      <c r="B47" s="296">
        <v>9</v>
      </c>
      <c r="C47" s="297" t="s">
        <v>77</v>
      </c>
      <c r="D47" s="426" t="s">
        <v>0</v>
      </c>
      <c r="E47" s="426" t="s">
        <v>0</v>
      </c>
      <c r="F47" s="13"/>
      <c r="H47" s="13"/>
      <c r="I47" s="13"/>
      <c r="J47" s="13"/>
      <c r="K47" s="13"/>
      <c r="L47" s="13"/>
      <c r="M47" s="13"/>
    </row>
    <row r="48" spans="1:13" ht="17.25">
      <c r="A48" s="61" t="s">
        <v>67</v>
      </c>
      <c r="B48" s="294">
        <v>10</v>
      </c>
      <c r="C48" s="295" t="s">
        <v>69</v>
      </c>
      <c r="D48" s="353" t="s">
        <v>0</v>
      </c>
      <c r="E48" s="353" t="s">
        <v>0</v>
      </c>
      <c r="H48" s="13"/>
      <c r="I48" s="13"/>
      <c r="J48" s="13"/>
      <c r="K48" s="13"/>
      <c r="L48" s="13"/>
      <c r="M48" s="13"/>
    </row>
    <row r="49" spans="1:13" ht="17.25">
      <c r="A49" s="61" t="s">
        <v>68</v>
      </c>
      <c r="B49" s="294">
        <v>11</v>
      </c>
      <c r="C49" s="295" t="s">
        <v>70</v>
      </c>
      <c r="D49" s="353">
        <v>5.9700000000000003E-2</v>
      </c>
      <c r="E49" s="353">
        <v>5.9299999999999999E-2</v>
      </c>
      <c r="F49" s="13" t="s">
        <v>225</v>
      </c>
      <c r="H49" s="13"/>
      <c r="I49" s="13"/>
      <c r="J49" s="13"/>
      <c r="K49" s="13"/>
      <c r="L49" s="13"/>
      <c r="M49" s="13"/>
    </row>
    <row r="50" spans="1:13" ht="18" thickBot="1">
      <c r="A50" s="62" t="s">
        <v>76</v>
      </c>
      <c r="B50" s="296">
        <v>12</v>
      </c>
      <c r="C50" s="297" t="s">
        <v>78</v>
      </c>
      <c r="D50" s="353" t="s">
        <v>0</v>
      </c>
      <c r="E50" s="353" t="s">
        <v>0</v>
      </c>
      <c r="F50" s="13"/>
      <c r="H50" s="13"/>
      <c r="I50" s="13"/>
      <c r="J50" s="13"/>
      <c r="K50" s="13"/>
      <c r="L50" s="13"/>
      <c r="M50" s="13"/>
    </row>
    <row r="51" spans="1:13" ht="17.25">
      <c r="A51" s="61" t="s">
        <v>74</v>
      </c>
      <c r="B51" s="294">
        <v>13</v>
      </c>
      <c r="C51" s="295" t="s">
        <v>357</v>
      </c>
      <c r="D51" s="427" t="s">
        <v>0</v>
      </c>
      <c r="E51" s="427" t="s">
        <v>0</v>
      </c>
      <c r="H51" s="13"/>
      <c r="I51" s="13"/>
      <c r="J51" s="13"/>
      <c r="K51" s="13"/>
      <c r="L51" s="13"/>
      <c r="M51" s="13"/>
    </row>
    <row r="52" spans="1:13" ht="17.25">
      <c r="A52" s="61" t="s">
        <v>162</v>
      </c>
      <c r="B52" s="294">
        <v>14</v>
      </c>
      <c r="C52" s="295" t="s">
        <v>358</v>
      </c>
      <c r="D52" s="352">
        <v>7.4440000000000006E-2</v>
      </c>
      <c r="E52" s="352">
        <v>7.3899999999999993E-2</v>
      </c>
      <c r="F52" s="13" t="s">
        <v>224</v>
      </c>
      <c r="H52" s="13"/>
      <c r="I52" s="13"/>
      <c r="J52" s="13"/>
      <c r="K52" s="13"/>
      <c r="L52" s="13"/>
      <c r="M52" s="13"/>
    </row>
    <row r="53" spans="1:13" ht="18" thickBot="1">
      <c r="A53" s="62" t="s">
        <v>161</v>
      </c>
      <c r="B53" s="296">
        <v>15</v>
      </c>
      <c r="C53" s="297" t="s">
        <v>359</v>
      </c>
      <c r="D53" s="425" t="s">
        <v>0</v>
      </c>
      <c r="E53" s="425" t="s">
        <v>0</v>
      </c>
      <c r="F53" s="13"/>
      <c r="H53" s="13"/>
      <c r="I53" s="13"/>
      <c r="J53" s="13"/>
      <c r="K53" s="13"/>
      <c r="L53" s="13"/>
      <c r="M53" s="13"/>
    </row>
    <row r="54" spans="1:13" ht="17.25">
      <c r="A54" s="61" t="s">
        <v>160</v>
      </c>
      <c r="B54" s="294">
        <v>16</v>
      </c>
      <c r="C54" s="295" t="s">
        <v>25</v>
      </c>
      <c r="D54" s="427"/>
      <c r="E54" s="427"/>
      <c r="H54" s="13"/>
      <c r="I54" s="13"/>
      <c r="J54" s="13"/>
      <c r="K54" s="13"/>
      <c r="L54" s="13"/>
      <c r="M54" s="13"/>
    </row>
    <row r="55" spans="1:13" ht="17.25">
      <c r="A55" s="61" t="s">
        <v>159</v>
      </c>
      <c r="B55" s="294">
        <v>17</v>
      </c>
      <c r="C55" s="295" t="s">
        <v>110</v>
      </c>
      <c r="D55" s="353">
        <v>8.2299999999999998E-2</v>
      </c>
      <c r="E55" s="353">
        <v>8.1699999999999995E-2</v>
      </c>
      <c r="F55" s="13" t="s">
        <v>223</v>
      </c>
      <c r="H55" s="13"/>
      <c r="I55" s="13"/>
      <c r="J55" s="13"/>
      <c r="K55" s="13"/>
      <c r="L55" s="13"/>
      <c r="M55" s="13"/>
    </row>
    <row r="56" spans="1:13" ht="18" thickBot="1">
      <c r="A56" s="62" t="s">
        <v>158</v>
      </c>
      <c r="B56" s="296">
        <v>18</v>
      </c>
      <c r="C56" s="297" t="s">
        <v>360</v>
      </c>
      <c r="D56" s="425"/>
      <c r="E56" s="425"/>
      <c r="F56" s="13"/>
      <c r="H56" s="13"/>
      <c r="I56" s="13"/>
      <c r="J56" s="13"/>
      <c r="K56" s="13"/>
      <c r="L56" s="13"/>
      <c r="M56" s="13"/>
    </row>
    <row r="57" spans="1:13" ht="17.25">
      <c r="A57" s="61" t="s">
        <v>157</v>
      </c>
      <c r="B57" s="294">
        <v>19</v>
      </c>
      <c r="C57" s="295" t="s">
        <v>361</v>
      </c>
      <c r="D57" s="353"/>
      <c r="E57" s="353"/>
      <c r="H57" s="13"/>
      <c r="I57" s="13"/>
      <c r="J57" s="13"/>
      <c r="K57" s="13"/>
      <c r="L57" s="13"/>
      <c r="M57" s="13"/>
    </row>
    <row r="58" spans="1:13" ht="17.25">
      <c r="A58" s="61" t="s">
        <v>156</v>
      </c>
      <c r="B58" s="294">
        <v>20</v>
      </c>
      <c r="C58" s="295" t="s">
        <v>362</v>
      </c>
      <c r="D58" s="353">
        <v>9.0200000000000002E-2</v>
      </c>
      <c r="E58" s="353">
        <v>8.9499999999999996E-2</v>
      </c>
      <c r="F58" s="13" t="s">
        <v>220</v>
      </c>
      <c r="H58" s="13"/>
      <c r="I58" s="13"/>
      <c r="J58" s="13"/>
      <c r="K58" s="13"/>
      <c r="L58" s="13"/>
      <c r="M58" s="13"/>
    </row>
    <row r="59" spans="1:13" ht="18" thickBot="1">
      <c r="A59" s="61" t="s">
        <v>155</v>
      </c>
      <c r="B59" s="294">
        <v>21</v>
      </c>
      <c r="C59" s="297" t="s">
        <v>363</v>
      </c>
      <c r="D59" s="426"/>
      <c r="E59" s="426"/>
      <c r="F59" s="13"/>
      <c r="H59" s="13"/>
      <c r="I59" s="13"/>
      <c r="J59" s="13"/>
      <c r="K59" s="13"/>
      <c r="L59" s="13"/>
    </row>
    <row r="60" spans="1:13" ht="17.25">
      <c r="A60" s="428" t="s">
        <v>375</v>
      </c>
      <c r="B60" s="293">
        <v>22</v>
      </c>
      <c r="C60" s="60" t="s">
        <v>376</v>
      </c>
      <c r="D60" s="429"/>
      <c r="E60" s="429"/>
      <c r="H60" s="13"/>
      <c r="I60" s="13"/>
      <c r="J60" s="13"/>
    </row>
    <row r="61" spans="1:13" ht="17.25">
      <c r="A61" s="428" t="s">
        <v>377</v>
      </c>
      <c r="B61" s="293">
        <v>23</v>
      </c>
      <c r="C61" s="60" t="s">
        <v>364</v>
      </c>
      <c r="D61" s="430"/>
      <c r="E61" s="430"/>
      <c r="F61" s="13" t="s">
        <v>218</v>
      </c>
      <c r="H61" s="13"/>
      <c r="I61" s="13"/>
      <c r="J61" s="13"/>
    </row>
    <row r="62" spans="1:13" ht="18" thickBot="1">
      <c r="A62" s="428" t="s">
        <v>378</v>
      </c>
      <c r="B62" s="293">
        <v>24</v>
      </c>
      <c r="C62" s="60" t="s">
        <v>379</v>
      </c>
      <c r="D62" s="431"/>
      <c r="E62" s="431"/>
      <c r="F62" s="13"/>
      <c r="H62" s="13"/>
      <c r="I62" s="13"/>
      <c r="J62" s="13"/>
    </row>
    <row r="63" spans="1:13" ht="18" thickBot="1">
      <c r="A63" s="60" t="s">
        <v>298</v>
      </c>
      <c r="B63" s="293">
        <v>25</v>
      </c>
      <c r="C63" s="62" t="s">
        <v>111</v>
      </c>
      <c r="D63" s="432"/>
      <c r="E63" s="432"/>
      <c r="F63" s="13" t="s">
        <v>219</v>
      </c>
      <c r="H63" s="13"/>
      <c r="I63" s="13"/>
      <c r="J63" s="13"/>
    </row>
  </sheetData>
  <pageMargins left="0.25" right="0.25" top="0.75" bottom="0.75" header="0.3" footer="0.3"/>
  <pageSetup scale="4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N40"/>
  <sheetViews>
    <sheetView view="pageBreakPreview" zoomScale="60" zoomScaleNormal="80" workbookViewId="0">
      <selection activeCell="G6" sqref="G6"/>
    </sheetView>
  </sheetViews>
  <sheetFormatPr defaultRowHeight="15"/>
  <cols>
    <col min="1" max="1" width="48.85546875" customWidth="1"/>
    <col min="2" max="2" width="11.5703125" customWidth="1"/>
    <col min="3" max="3" width="19.85546875" customWidth="1"/>
    <col min="4" max="4" width="24.7109375" customWidth="1"/>
    <col min="5" max="5" width="22.7109375" customWidth="1"/>
    <col min="6" max="7" width="21.28515625" customWidth="1"/>
    <col min="8" max="8" width="14.85546875" customWidth="1"/>
    <col min="9" max="9" width="18.42578125" customWidth="1"/>
    <col min="10" max="10" width="21.28515625" customWidth="1"/>
    <col min="11" max="11" width="2.28515625" customWidth="1"/>
    <col min="12" max="12" width="22.7109375" customWidth="1"/>
    <col min="13" max="13" width="17.28515625" customWidth="1"/>
  </cols>
  <sheetData>
    <row r="1" spans="1:14" ht="26.25">
      <c r="A1" s="25" t="s">
        <v>1</v>
      </c>
      <c r="B1" s="13"/>
      <c r="C1" s="13"/>
      <c r="D1" s="13"/>
      <c r="E1" s="13"/>
      <c r="F1" s="13"/>
      <c r="G1" s="13"/>
      <c r="H1" s="13"/>
      <c r="I1" s="13"/>
      <c r="J1" s="13"/>
      <c r="K1" s="13"/>
      <c r="L1" s="13"/>
      <c r="M1" s="13"/>
      <c r="N1" s="13"/>
    </row>
    <row r="2" spans="1:14" ht="17.25">
      <c r="A2" s="66" t="s">
        <v>9</v>
      </c>
      <c r="B2" s="13"/>
      <c r="C2" s="13"/>
      <c r="D2" s="13"/>
      <c r="E2" s="13"/>
      <c r="F2" s="13"/>
      <c r="G2" s="13"/>
      <c r="H2" s="13"/>
      <c r="I2" s="13"/>
      <c r="J2" s="13"/>
      <c r="K2" s="13"/>
      <c r="L2" s="13"/>
      <c r="M2" s="13"/>
      <c r="N2" s="13"/>
    </row>
    <row r="3" spans="1:14" ht="16.5">
      <c r="A3" s="27" t="s">
        <v>81</v>
      </c>
      <c r="B3" s="13"/>
      <c r="C3" s="13"/>
      <c r="D3" s="13"/>
      <c r="E3" s="13"/>
      <c r="F3" s="13"/>
      <c r="G3" s="13"/>
      <c r="H3" s="13"/>
      <c r="I3" s="13"/>
      <c r="J3" s="13"/>
      <c r="K3" s="13"/>
      <c r="L3" s="13"/>
      <c r="M3" s="13"/>
      <c r="N3" s="13"/>
    </row>
    <row r="4" spans="1:14" ht="16.5">
      <c r="A4" s="13"/>
      <c r="B4" s="13"/>
      <c r="C4" s="13"/>
      <c r="D4" s="28" t="s">
        <v>0</v>
      </c>
      <c r="E4" s="13"/>
      <c r="F4" s="13"/>
      <c r="G4" s="13"/>
      <c r="H4" s="13"/>
      <c r="I4" s="13"/>
      <c r="J4" s="13"/>
      <c r="K4" s="13"/>
      <c r="L4" s="13"/>
      <c r="M4" s="13"/>
      <c r="N4" s="13"/>
    </row>
    <row r="5" spans="1:14" ht="18" thickBot="1">
      <c r="A5" s="66"/>
      <c r="B5" s="13"/>
      <c r="C5" s="13"/>
      <c r="D5" s="13"/>
      <c r="E5" s="13"/>
      <c r="F5" s="13"/>
      <c r="G5" s="13"/>
      <c r="H5" s="13"/>
      <c r="I5" s="13"/>
      <c r="J5" s="13"/>
      <c r="K5" s="13"/>
      <c r="L5" s="13"/>
      <c r="M5" s="13"/>
      <c r="N5" s="13"/>
    </row>
    <row r="6" spans="1:14" ht="18" thickBot="1">
      <c r="A6" s="283" t="str">
        <f>+'S&amp;D'!A12</f>
        <v>Natural Gas Utility Distribution</v>
      </c>
      <c r="B6" s="211"/>
      <c r="C6" s="13"/>
      <c r="D6" s="13"/>
      <c r="E6" s="13"/>
      <c r="F6" s="13"/>
      <c r="G6" s="13"/>
      <c r="H6" s="13"/>
      <c r="I6" s="13"/>
      <c r="J6" s="13"/>
      <c r="K6" s="13"/>
      <c r="L6" s="13"/>
      <c r="M6" s="13"/>
      <c r="N6" s="13"/>
    </row>
    <row r="7" spans="1:14" ht="17.25">
      <c r="A7" s="66"/>
      <c r="B7" s="13"/>
      <c r="C7" s="13"/>
      <c r="D7" s="13"/>
      <c r="E7" s="13"/>
      <c r="F7" s="13"/>
      <c r="G7" s="13"/>
      <c r="H7" s="13"/>
      <c r="I7" s="13"/>
      <c r="J7" s="13"/>
      <c r="K7" s="13"/>
      <c r="L7" s="13"/>
      <c r="M7" s="13"/>
      <c r="N7" s="13"/>
    </row>
    <row r="8" spans="1:14" ht="18" thickBot="1">
      <c r="A8" s="66"/>
      <c r="B8" s="30"/>
      <c r="C8" s="30"/>
      <c r="D8" s="30"/>
      <c r="E8" s="30"/>
      <c r="F8" s="13"/>
      <c r="G8" s="13"/>
      <c r="H8" s="30"/>
      <c r="I8" s="30"/>
      <c r="J8" s="30"/>
      <c r="K8" s="30"/>
      <c r="L8" s="30"/>
      <c r="M8" s="30"/>
      <c r="N8" s="13"/>
    </row>
    <row r="9" spans="1:14" ht="26.25">
      <c r="B9" s="13"/>
      <c r="C9" s="13"/>
      <c r="D9" s="33" t="s">
        <v>340</v>
      </c>
      <c r="E9" s="13"/>
      <c r="F9" s="13"/>
      <c r="G9" s="13"/>
      <c r="H9" s="13"/>
      <c r="I9" s="13"/>
      <c r="J9" s="13"/>
      <c r="K9" s="72" t="s">
        <v>341</v>
      </c>
      <c r="L9" s="13"/>
      <c r="M9" s="13"/>
      <c r="N9" s="13"/>
    </row>
    <row r="10" spans="1:14" ht="21" thickBot="1">
      <c r="A10" s="32"/>
      <c r="B10" s="30"/>
      <c r="C10" s="30"/>
      <c r="D10" s="34" t="s">
        <v>95</v>
      </c>
      <c r="E10" s="30"/>
      <c r="F10" s="13"/>
      <c r="G10" s="13"/>
      <c r="H10" s="30"/>
      <c r="I10" s="30"/>
      <c r="J10" s="30"/>
      <c r="K10" s="34" t="s">
        <v>95</v>
      </c>
      <c r="L10" s="30"/>
      <c r="M10" s="30"/>
      <c r="N10" s="13"/>
    </row>
    <row r="11" spans="1:14" ht="17.25" thickBot="1">
      <c r="A11" s="35" t="s">
        <v>0</v>
      </c>
      <c r="B11" s="35" t="s">
        <v>0</v>
      </c>
      <c r="C11" s="35" t="s">
        <v>0</v>
      </c>
      <c r="D11" s="35" t="s">
        <v>0</v>
      </c>
      <c r="E11" s="35" t="s">
        <v>0</v>
      </c>
      <c r="F11" s="35" t="s">
        <v>0</v>
      </c>
      <c r="G11" s="42"/>
      <c r="H11" s="282"/>
      <c r="I11" s="35" t="s">
        <v>0</v>
      </c>
      <c r="J11" s="30"/>
      <c r="K11" s="30"/>
      <c r="L11" s="30"/>
      <c r="M11" s="30"/>
      <c r="N11" s="13"/>
    </row>
    <row r="12" spans="1:14" ht="16.5">
      <c r="A12" s="36" t="s">
        <v>0</v>
      </c>
      <c r="B12" s="36" t="s">
        <v>3</v>
      </c>
      <c r="C12" s="36" t="s">
        <v>0</v>
      </c>
      <c r="D12" s="36" t="s">
        <v>131</v>
      </c>
      <c r="E12" s="36" t="s">
        <v>131</v>
      </c>
      <c r="F12" s="36" t="s">
        <v>27</v>
      </c>
      <c r="G12" s="36"/>
      <c r="H12" s="36" t="s">
        <v>3</v>
      </c>
      <c r="I12" s="36" t="s">
        <v>0</v>
      </c>
      <c r="J12" s="36" t="s">
        <v>131</v>
      </c>
      <c r="K12" s="36"/>
      <c r="L12" s="36" t="s">
        <v>131</v>
      </c>
      <c r="M12" s="36" t="s">
        <v>27</v>
      </c>
      <c r="N12" s="13"/>
    </row>
    <row r="13" spans="1:14" ht="17.25" thickBot="1">
      <c r="A13" s="38" t="s">
        <v>2</v>
      </c>
      <c r="B13" s="38" t="s">
        <v>4</v>
      </c>
      <c r="C13" s="38" t="s">
        <v>28</v>
      </c>
      <c r="D13" s="38" t="s">
        <v>0</v>
      </c>
      <c r="E13" s="38" t="s">
        <v>29</v>
      </c>
      <c r="F13" s="38" t="s">
        <v>30</v>
      </c>
      <c r="G13" s="36"/>
      <c r="H13" s="38" t="s">
        <v>4</v>
      </c>
      <c r="I13" s="38" t="s">
        <v>28</v>
      </c>
      <c r="J13" s="38" t="s">
        <v>0</v>
      </c>
      <c r="K13" s="38"/>
      <c r="L13" s="38" t="s">
        <v>29</v>
      </c>
      <c r="M13" s="38" t="s">
        <v>30</v>
      </c>
      <c r="N13" s="13"/>
    </row>
    <row r="14" spans="1:14" ht="16.5">
      <c r="A14" s="40" t="s">
        <v>0</v>
      </c>
      <c r="B14" s="40" t="s">
        <v>0</v>
      </c>
      <c r="C14" s="41" t="s">
        <v>134</v>
      </c>
      <c r="D14" s="40" t="s">
        <v>135</v>
      </c>
      <c r="E14" s="40" t="s">
        <v>0</v>
      </c>
      <c r="F14" s="40" t="s">
        <v>0</v>
      </c>
      <c r="G14" s="42"/>
      <c r="H14" s="40" t="s">
        <v>0</v>
      </c>
      <c r="I14" s="41" t="s">
        <v>134</v>
      </c>
      <c r="J14" s="40" t="s">
        <v>136</v>
      </c>
      <c r="K14" s="40"/>
      <c r="L14" s="40" t="s">
        <v>0</v>
      </c>
      <c r="M14" s="40" t="s">
        <v>0</v>
      </c>
      <c r="N14" s="13"/>
    </row>
    <row r="15" spans="1:14" ht="16.5">
      <c r="A15" s="36"/>
      <c r="B15" s="36"/>
      <c r="C15" s="36"/>
      <c r="D15" s="36"/>
      <c r="E15" s="36"/>
      <c r="F15" s="36"/>
      <c r="G15" s="36"/>
      <c r="H15" s="36"/>
      <c r="I15" s="36"/>
      <c r="J15" s="36"/>
      <c r="K15" s="36"/>
      <c r="L15" s="36"/>
      <c r="M15" s="36"/>
      <c r="N15" s="13"/>
    </row>
    <row r="16" spans="1:14" ht="16.5">
      <c r="A16" s="13"/>
      <c r="B16" s="13"/>
      <c r="C16" s="13"/>
      <c r="D16" s="13"/>
      <c r="E16" s="13"/>
      <c r="F16" s="13"/>
      <c r="G16" s="13"/>
      <c r="H16" s="13"/>
      <c r="I16" s="13"/>
      <c r="J16" s="13"/>
      <c r="K16" s="13"/>
      <c r="L16" s="13"/>
      <c r="M16" s="13"/>
      <c r="N16" s="13"/>
    </row>
    <row r="17" spans="1:14" ht="17.25">
      <c r="A17" s="45" t="str">
        <f>+'S&amp;D'!A22</f>
        <v>Atmos Energy Corp</v>
      </c>
      <c r="B17" s="45" t="str">
        <f>+'S&amp;D'!B22</f>
        <v>ATO</v>
      </c>
      <c r="C17" s="63">
        <f>+'S&amp;D'!G22</f>
        <v>112.07</v>
      </c>
      <c r="D17" s="65">
        <v>9.3000000000000007</v>
      </c>
      <c r="E17" s="73">
        <f t="shared" ref="E17:E27" si="0">C17/D17</f>
        <v>12.050537634408601</v>
      </c>
      <c r="F17" s="59">
        <f t="shared" ref="F17:F27" si="1">1/E17</f>
        <v>8.2983849379851884E-2</v>
      </c>
      <c r="G17" s="59"/>
      <c r="H17" s="36" t="str">
        <f>+B17</f>
        <v>ATO</v>
      </c>
      <c r="I17" s="63">
        <f>+C17</f>
        <v>112.07</v>
      </c>
      <c r="J17" s="65">
        <v>10</v>
      </c>
      <c r="K17" s="65"/>
      <c r="L17" s="73">
        <f t="shared" ref="L17:L27" si="2">I17/J17</f>
        <v>11.206999999999999</v>
      </c>
      <c r="M17" s="59">
        <f t="shared" ref="M17:M27" si="3">1/L17</f>
        <v>8.922994556973321E-2</v>
      </c>
      <c r="N17" s="13"/>
    </row>
    <row r="18" spans="1:14" ht="17.25">
      <c r="A18" s="45" t="str">
        <f>+'S&amp;D'!A23</f>
        <v>Black Hills Corporation</v>
      </c>
      <c r="B18" s="45" t="str">
        <f>+'S&amp;D'!B23</f>
        <v>BKH</v>
      </c>
      <c r="C18" s="63">
        <f>+'S&amp;D'!G23</f>
        <v>70.34</v>
      </c>
      <c r="D18" s="65">
        <v>7.8</v>
      </c>
      <c r="E18" s="73">
        <f t="shared" si="0"/>
        <v>9.0179487179487179</v>
      </c>
      <c r="F18" s="59">
        <f t="shared" si="1"/>
        <v>0.11088996303667899</v>
      </c>
      <c r="G18" s="59"/>
      <c r="H18" s="36" t="str">
        <f t="shared" ref="H18:H27" si="4">+B18</f>
        <v>BKH</v>
      </c>
      <c r="I18" s="63">
        <f>+C18</f>
        <v>70.34</v>
      </c>
      <c r="J18" s="65">
        <v>8.15</v>
      </c>
      <c r="K18" s="65"/>
      <c r="L18" s="73">
        <f t="shared" si="2"/>
        <v>8.6306748466257677</v>
      </c>
      <c r="M18" s="59">
        <f t="shared" si="3"/>
        <v>0.11586579471140175</v>
      </c>
      <c r="N18" s="13"/>
    </row>
    <row r="19" spans="1:14" ht="17.25">
      <c r="A19" s="45" t="str">
        <f>+'S&amp;D'!A24</f>
        <v>CenterPoint Energy Inc.</v>
      </c>
      <c r="B19" s="45" t="str">
        <f>+'S&amp;D'!B24</f>
        <v>CNP</v>
      </c>
      <c r="C19" s="63">
        <f>+'S&amp;D'!G24</f>
        <v>29.99</v>
      </c>
      <c r="D19" s="65">
        <v>3.45</v>
      </c>
      <c r="E19" s="73">
        <f t="shared" si="0"/>
        <v>8.6927536231884055</v>
      </c>
      <c r="F19" s="59">
        <f t="shared" si="1"/>
        <v>0.1150383461153718</v>
      </c>
      <c r="G19" s="59"/>
      <c r="H19" s="36" t="str">
        <f t="shared" si="4"/>
        <v>CNP</v>
      </c>
      <c r="I19" s="63">
        <f>+C19</f>
        <v>29.99</v>
      </c>
      <c r="J19" s="65">
        <v>3.65</v>
      </c>
      <c r="K19" s="65"/>
      <c r="L19" s="73">
        <f t="shared" si="2"/>
        <v>8.2164383561643834</v>
      </c>
      <c r="M19" s="59">
        <f t="shared" si="3"/>
        <v>0.12170723574524842</v>
      </c>
      <c r="N19" s="13"/>
    </row>
    <row r="20" spans="1:14" ht="17.25">
      <c r="A20" s="45" t="str">
        <f>+'S&amp;D'!A25</f>
        <v>CMS Energy Corporation</v>
      </c>
      <c r="B20" s="45" t="str">
        <f>+'S&amp;D'!B25</f>
        <v>CMS</v>
      </c>
      <c r="C20" s="63">
        <f>+'S&amp;D'!G25</f>
        <v>63.33</v>
      </c>
      <c r="D20" s="65">
        <v>6.7</v>
      </c>
      <c r="E20" s="73">
        <f t="shared" si="0"/>
        <v>9.4522388059701488</v>
      </c>
      <c r="F20" s="59">
        <f t="shared" si="1"/>
        <v>0.1057950418443076</v>
      </c>
      <c r="G20" s="59"/>
      <c r="H20" s="36" t="str">
        <f t="shared" si="4"/>
        <v>CMS</v>
      </c>
      <c r="I20" s="63">
        <f>+C20</f>
        <v>63.33</v>
      </c>
      <c r="J20" s="65">
        <v>7.15</v>
      </c>
      <c r="K20" s="65"/>
      <c r="L20" s="73">
        <f t="shared" si="2"/>
        <v>8.8573426573426559</v>
      </c>
      <c r="M20" s="59">
        <f t="shared" si="3"/>
        <v>0.11290067898310439</v>
      </c>
      <c r="N20" s="13"/>
    </row>
    <row r="21" spans="1:14" ht="17.25">
      <c r="A21" s="45" t="str">
        <f>+'S&amp;D'!A26</f>
        <v>New Jersey Resources Corp</v>
      </c>
      <c r="B21" s="45" t="str">
        <f>+'S&amp;D'!B26</f>
        <v>NJR</v>
      </c>
      <c r="C21" s="63">
        <f>+'S&amp;D'!G26</f>
        <v>49.62</v>
      </c>
      <c r="D21" s="65">
        <v>3.86</v>
      </c>
      <c r="E21" s="73">
        <f t="shared" si="0"/>
        <v>12.854922279792746</v>
      </c>
      <c r="F21" s="59">
        <f t="shared" si="1"/>
        <v>7.7791213220475622E-2</v>
      </c>
      <c r="G21" s="59"/>
      <c r="H21" s="36" t="str">
        <f t="shared" si="4"/>
        <v>NJR</v>
      </c>
      <c r="I21" s="63">
        <f t="shared" ref="I21:I27" si="5">+C21</f>
        <v>49.62</v>
      </c>
      <c r="J21" s="65">
        <v>4.3</v>
      </c>
      <c r="K21" s="65"/>
      <c r="L21" s="73">
        <f t="shared" si="2"/>
        <v>11.539534883720931</v>
      </c>
      <c r="M21" s="59">
        <f t="shared" si="3"/>
        <v>8.6658605401047958E-2</v>
      </c>
      <c r="N21" s="13"/>
    </row>
    <row r="22" spans="1:14" ht="17.25">
      <c r="A22" s="45" t="str">
        <f>+'S&amp;D'!A27</f>
        <v>NISOURCE Inc.</v>
      </c>
      <c r="B22" s="45" t="str">
        <f>+'S&amp;D'!B27</f>
        <v>NI</v>
      </c>
      <c r="C22" s="63">
        <f>+'S&amp;D'!G27</f>
        <v>27.42</v>
      </c>
      <c r="D22" s="65">
        <v>3.45</v>
      </c>
      <c r="E22" s="73">
        <f t="shared" si="0"/>
        <v>7.947826086956522</v>
      </c>
      <c r="F22" s="59">
        <f t="shared" si="1"/>
        <v>0.12582056892778992</v>
      </c>
      <c r="G22" s="59"/>
      <c r="H22" s="36" t="str">
        <f t="shared" si="4"/>
        <v>NI</v>
      </c>
      <c r="I22" s="63">
        <f t="shared" si="5"/>
        <v>27.42</v>
      </c>
      <c r="J22" s="65">
        <v>3.55</v>
      </c>
      <c r="K22" s="65"/>
      <c r="L22" s="73">
        <f t="shared" si="2"/>
        <v>7.7239436619718322</v>
      </c>
      <c r="M22" s="59">
        <f t="shared" si="3"/>
        <v>0.12946754194018961</v>
      </c>
      <c r="N22" s="13"/>
    </row>
    <row r="23" spans="1:14" ht="17.25">
      <c r="A23" s="45" t="str">
        <f>+'S&amp;D'!A28</f>
        <v xml:space="preserve">Northwest Natural Holding Company </v>
      </c>
      <c r="B23" s="45" t="str">
        <f>+'S&amp;D'!B28</f>
        <v>NWN</v>
      </c>
      <c r="C23" s="63">
        <f>+'S&amp;D'!G28</f>
        <v>47.59</v>
      </c>
      <c r="D23" s="65">
        <v>5.75</v>
      </c>
      <c r="E23" s="73">
        <f t="shared" si="0"/>
        <v>8.2765217391304358</v>
      </c>
      <c r="F23" s="59">
        <f t="shared" si="1"/>
        <v>0.12082370245849967</v>
      </c>
      <c r="G23" s="59"/>
      <c r="H23" s="36" t="str">
        <f t="shared" si="4"/>
        <v>NWN</v>
      </c>
      <c r="I23" s="63">
        <f t="shared" si="5"/>
        <v>47.59</v>
      </c>
      <c r="J23" s="65">
        <v>6.25</v>
      </c>
      <c r="K23" s="65"/>
      <c r="L23" s="73">
        <f t="shared" si="2"/>
        <v>7.6144000000000007</v>
      </c>
      <c r="M23" s="59">
        <f t="shared" si="3"/>
        <v>0.13133011136793443</v>
      </c>
      <c r="N23" s="13"/>
    </row>
    <row r="24" spans="1:14" ht="17.25">
      <c r="A24" s="45" t="str">
        <f>+'S&amp;D'!A29</f>
        <v>One Gas INC</v>
      </c>
      <c r="B24" s="45" t="str">
        <f>+'S&amp;D'!B29</f>
        <v>OGS</v>
      </c>
      <c r="C24" s="63">
        <f>+'S&amp;D'!G29</f>
        <v>75.72</v>
      </c>
      <c r="D24" s="65">
        <v>8.1</v>
      </c>
      <c r="E24" s="73">
        <f t="shared" si="0"/>
        <v>9.3481481481481481</v>
      </c>
      <c r="F24" s="59">
        <f t="shared" si="1"/>
        <v>0.10697305863708399</v>
      </c>
      <c r="G24" s="59"/>
      <c r="H24" s="36" t="str">
        <f t="shared" si="4"/>
        <v>OGS</v>
      </c>
      <c r="I24" s="63">
        <f t="shared" si="5"/>
        <v>75.72</v>
      </c>
      <c r="J24" s="65">
        <v>8.5500000000000007</v>
      </c>
      <c r="K24" s="65"/>
      <c r="L24" s="73">
        <f t="shared" si="2"/>
        <v>8.8561403508771921</v>
      </c>
      <c r="M24" s="59">
        <f t="shared" si="3"/>
        <v>0.11291600633914423</v>
      </c>
      <c r="N24" s="13"/>
    </row>
    <row r="25" spans="1:14" ht="17.25">
      <c r="A25" s="45" t="str">
        <f>+'S&amp;D'!A30</f>
        <v>Southwest Gas Holdings, Inc</v>
      </c>
      <c r="B25" s="45" t="str">
        <f>+'S&amp;D'!B30</f>
        <v>SWX</v>
      </c>
      <c r="C25" s="63">
        <f>+'S&amp;D'!G30</f>
        <v>61.88</v>
      </c>
      <c r="D25" s="65">
        <v>10.5</v>
      </c>
      <c r="E25" s="73">
        <f t="shared" si="0"/>
        <v>5.8933333333333335</v>
      </c>
      <c r="F25" s="59">
        <f t="shared" si="1"/>
        <v>0.16968325791855204</v>
      </c>
      <c r="G25" s="59"/>
      <c r="H25" s="36" t="str">
        <f t="shared" si="4"/>
        <v>SWX</v>
      </c>
      <c r="I25" s="63">
        <f t="shared" si="5"/>
        <v>61.88</v>
      </c>
      <c r="J25" s="65">
        <v>11.5</v>
      </c>
      <c r="K25" s="65"/>
      <c r="L25" s="73">
        <f t="shared" si="2"/>
        <v>5.3808695652173917</v>
      </c>
      <c r="M25" s="59">
        <f t="shared" si="3"/>
        <v>0.18584356819650935</v>
      </c>
      <c r="N25" s="13"/>
    </row>
    <row r="26" spans="1:14" ht="17.25">
      <c r="A26" s="45" t="str">
        <f>+'S&amp;D'!A31</f>
        <v>Spire Inc / Laclede Group Inc</v>
      </c>
      <c r="B26" s="45" t="str">
        <f>+'S&amp;D'!B31</f>
        <v>SR</v>
      </c>
      <c r="C26" s="63">
        <f>+'S&amp;D'!G31</f>
        <v>68.86</v>
      </c>
      <c r="D26" s="65">
        <v>8.44</v>
      </c>
      <c r="E26" s="73">
        <f t="shared" si="0"/>
        <v>8.1587677725118493</v>
      </c>
      <c r="F26" s="59">
        <f t="shared" si="1"/>
        <v>0.12256752831832703</v>
      </c>
      <c r="G26" s="59"/>
      <c r="H26" s="36" t="str">
        <f t="shared" si="4"/>
        <v>SR</v>
      </c>
      <c r="I26" s="63">
        <f t="shared" si="5"/>
        <v>68.86</v>
      </c>
      <c r="J26" s="65">
        <v>9.35</v>
      </c>
      <c r="K26" s="65"/>
      <c r="L26" s="73">
        <f t="shared" si="2"/>
        <v>7.3647058823529417</v>
      </c>
      <c r="M26" s="59">
        <f t="shared" si="3"/>
        <v>0.13578274760383385</v>
      </c>
      <c r="N26" s="13"/>
    </row>
    <row r="27" spans="1:14" ht="17.25">
      <c r="A27" s="45" t="str">
        <f>+'S&amp;D'!A32</f>
        <v>WEC Energy Group</v>
      </c>
      <c r="B27" s="45" t="str">
        <f>+'S&amp;D'!B32</f>
        <v>WEC</v>
      </c>
      <c r="C27" s="63">
        <f>+'S&amp;D'!G32</f>
        <v>93.76</v>
      </c>
      <c r="D27" s="65">
        <v>8.01</v>
      </c>
      <c r="E27" s="73">
        <f t="shared" si="0"/>
        <v>11.705368289637953</v>
      </c>
      <c r="F27" s="59">
        <f t="shared" si="1"/>
        <v>8.5430887372013653E-2</v>
      </c>
      <c r="G27" s="59"/>
      <c r="H27" s="36" t="str">
        <f t="shared" si="4"/>
        <v>WEC</v>
      </c>
      <c r="I27" s="63">
        <f t="shared" si="5"/>
        <v>93.76</v>
      </c>
      <c r="J27" s="65">
        <v>8.6</v>
      </c>
      <c r="K27" s="65"/>
      <c r="L27" s="73">
        <f t="shared" si="2"/>
        <v>10.902325581395349</v>
      </c>
      <c r="M27" s="59">
        <f t="shared" si="3"/>
        <v>9.1723549488054612E-2</v>
      </c>
      <c r="N27" s="13"/>
    </row>
    <row r="28" spans="1:14" ht="17.25" thickBot="1">
      <c r="A28" s="13"/>
      <c r="B28" s="74"/>
      <c r="C28" s="74"/>
      <c r="D28" s="74"/>
      <c r="E28" s="74"/>
      <c r="F28" s="74"/>
      <c r="G28" s="13"/>
      <c r="H28" s="74"/>
      <c r="I28" s="74"/>
      <c r="J28" s="74"/>
      <c r="K28" s="74"/>
      <c r="L28" s="74"/>
      <c r="M28" s="74"/>
      <c r="N28" s="13"/>
    </row>
    <row r="29" spans="1:14" ht="17.25" thickTop="1">
      <c r="A29" s="13"/>
      <c r="C29" s="15" t="s">
        <v>56</v>
      </c>
      <c r="D29" s="322">
        <v>10.5</v>
      </c>
      <c r="E29" s="322">
        <v>12.85</v>
      </c>
      <c r="F29" s="311">
        <v>0.16969999999999999</v>
      </c>
      <c r="I29" s="15" t="s">
        <v>56</v>
      </c>
      <c r="J29" s="322">
        <v>11.5</v>
      </c>
      <c r="K29" s="322"/>
      <c r="L29" s="322">
        <v>11.54</v>
      </c>
      <c r="M29" s="311">
        <v>0.18579999999999999</v>
      </c>
      <c r="N29" s="13"/>
    </row>
    <row r="30" spans="1:14" ht="16.5">
      <c r="A30" s="13"/>
      <c r="C30" s="15" t="s">
        <v>57</v>
      </c>
      <c r="D30" s="328">
        <v>3.45</v>
      </c>
      <c r="E30" s="328">
        <v>5.89</v>
      </c>
      <c r="F30" s="312">
        <v>7.7799999999999994E-2</v>
      </c>
      <c r="I30" s="15" t="s">
        <v>57</v>
      </c>
      <c r="J30" s="328">
        <v>3.55</v>
      </c>
      <c r="K30" s="328"/>
      <c r="L30" s="328">
        <v>5.38</v>
      </c>
      <c r="M30" s="312">
        <v>8.6699999999999999E-2</v>
      </c>
      <c r="N30" s="13"/>
    </row>
    <row r="31" spans="1:14" ht="16.5">
      <c r="A31" s="13"/>
      <c r="C31" s="15" t="s">
        <v>18</v>
      </c>
      <c r="D31" s="75">
        <f>MEDIAN(D17:D27)</f>
        <v>7.8</v>
      </c>
      <c r="E31" s="22">
        <f>MEDIAN(E17:E27)</f>
        <v>9.0179487179487179</v>
      </c>
      <c r="F31" s="59">
        <f>MEDIAN(F17:F27)</f>
        <v>0.11088996303667899</v>
      </c>
      <c r="I31" s="15" t="s">
        <v>18</v>
      </c>
      <c r="J31" s="75">
        <f>MEDIAN(J17:J27)</f>
        <v>8.15</v>
      </c>
      <c r="K31" s="75"/>
      <c r="L31" s="22">
        <f>MEDIAN(L17:L27)</f>
        <v>8.6306748466257677</v>
      </c>
      <c r="M31" s="59">
        <f>MEDIAN(M17:M27)</f>
        <v>0.11586579471140175</v>
      </c>
      <c r="N31" s="13"/>
    </row>
    <row r="32" spans="1:14" ht="16.5">
      <c r="A32" s="13"/>
      <c r="C32" s="15" t="s">
        <v>474</v>
      </c>
      <c r="D32" s="18">
        <f>AVERAGE(D17:D27)</f>
        <v>6.8509090909090924</v>
      </c>
      <c r="E32" s="22">
        <f>AVERAGE(E17:E27)</f>
        <v>9.3998514937297148</v>
      </c>
      <c r="F32" s="76">
        <f>AVERAGE(F17:F27)</f>
        <v>0.11125431065717746</v>
      </c>
      <c r="I32" s="15" t="s">
        <v>474</v>
      </c>
      <c r="J32" s="18">
        <f>AVERAGE(J17:J27)</f>
        <v>7.3681818181818164</v>
      </c>
      <c r="K32" s="18"/>
      <c r="L32" s="22">
        <f>AVERAGE(L17:L27)</f>
        <v>8.7539432532425856</v>
      </c>
      <c r="M32" s="76">
        <f>AVERAGE(M17:M27)</f>
        <v>0.11940234412238197</v>
      </c>
      <c r="N32" s="13"/>
    </row>
    <row r="33" spans="1:14" ht="16.5">
      <c r="A33" s="13"/>
      <c r="B33" s="13"/>
      <c r="C33" s="13"/>
      <c r="D33" s="13"/>
      <c r="E33" s="13"/>
      <c r="F33" s="13"/>
      <c r="H33" s="13"/>
      <c r="I33" s="13"/>
      <c r="J33" s="13"/>
      <c r="K33" s="13"/>
      <c r="L33" s="13"/>
      <c r="M33" s="13"/>
      <c r="N33" s="13"/>
    </row>
    <row r="34" spans="1:14" ht="26.25">
      <c r="A34" s="13"/>
      <c r="B34" s="13"/>
      <c r="C34" s="13"/>
      <c r="D34" s="80" t="s">
        <v>93</v>
      </c>
      <c r="E34" s="402">
        <v>9.4</v>
      </c>
      <c r="F34" s="355">
        <v>0.1113</v>
      </c>
      <c r="H34" s="13"/>
      <c r="I34" s="13"/>
      <c r="J34" s="80" t="s">
        <v>93</v>
      </c>
      <c r="K34" s="51"/>
      <c r="L34" s="403">
        <v>8.75</v>
      </c>
      <c r="M34" s="355">
        <v>0.11940000000000001</v>
      </c>
      <c r="N34" s="13"/>
    </row>
    <row r="35" spans="1:14" ht="17.25" thickBot="1">
      <c r="A35" s="13"/>
      <c r="B35" s="13"/>
      <c r="C35" s="13"/>
      <c r="D35" s="13"/>
      <c r="E35" s="13"/>
      <c r="F35" s="77" t="s">
        <v>0</v>
      </c>
      <c r="G35" s="77"/>
      <c r="H35" s="13"/>
      <c r="I35" s="13"/>
      <c r="J35" s="13"/>
      <c r="K35" s="13"/>
      <c r="L35" s="13"/>
      <c r="M35" s="13"/>
      <c r="N35" s="13"/>
    </row>
    <row r="36" spans="1:14" ht="27" thickBot="1">
      <c r="A36" s="78" t="s">
        <v>0</v>
      </c>
      <c r="B36" s="13"/>
      <c r="C36" s="13"/>
      <c r="D36" s="13"/>
      <c r="E36" s="25" t="s">
        <v>145</v>
      </c>
      <c r="F36" s="25"/>
      <c r="G36" s="404">
        <f>(+E34+L34)/2</f>
        <v>9.0749999999999993</v>
      </c>
      <c r="H36" s="393">
        <f>(+F34+M34)/2</f>
        <v>0.11535000000000001</v>
      </c>
      <c r="N36" s="13"/>
    </row>
    <row r="37" spans="1:14" ht="26.25">
      <c r="A37" s="78"/>
      <c r="B37" s="13"/>
      <c r="C37" s="13"/>
      <c r="D37" s="13"/>
      <c r="E37" s="25"/>
      <c r="F37" s="25"/>
      <c r="G37" s="357"/>
      <c r="H37" s="358"/>
      <c r="N37" s="13"/>
    </row>
    <row r="38" spans="1:14" ht="16.5">
      <c r="A38" s="78" t="s">
        <v>71</v>
      </c>
      <c r="B38" s="13"/>
      <c r="C38" s="13"/>
      <c r="D38" s="13"/>
      <c r="E38" s="13"/>
      <c r="F38" s="13"/>
      <c r="G38" s="13"/>
      <c r="H38" s="13"/>
      <c r="I38" s="13"/>
      <c r="J38" s="13"/>
      <c r="K38" s="13"/>
      <c r="L38" s="13"/>
      <c r="M38" s="13"/>
      <c r="N38" s="13"/>
    </row>
    <row r="39" spans="1:14" ht="16.5">
      <c r="A39" s="13"/>
      <c r="B39" s="13"/>
      <c r="C39" s="13"/>
      <c r="D39" s="13"/>
      <c r="E39" s="13"/>
      <c r="F39" s="13"/>
      <c r="G39" s="13"/>
      <c r="H39" s="13"/>
      <c r="I39" s="13"/>
      <c r="J39" s="13"/>
      <c r="K39" s="13"/>
      <c r="L39" s="13"/>
      <c r="M39" s="13"/>
      <c r="N39" s="13"/>
    </row>
    <row r="40" spans="1:14" ht="16.5">
      <c r="A40" s="13"/>
      <c r="B40" s="13"/>
      <c r="C40" s="13"/>
      <c r="D40" s="13"/>
      <c r="E40" s="13"/>
      <c r="F40" s="13"/>
      <c r="G40" s="13"/>
      <c r="H40" s="13"/>
      <c r="I40" s="13"/>
      <c r="J40" s="13"/>
      <c r="K40" s="13"/>
      <c r="L40" s="13"/>
      <c r="M40" s="13"/>
      <c r="N40" s="13"/>
    </row>
  </sheetData>
  <pageMargins left="0.25" right="0.25" top="0.75" bottom="0.75" header="0.3" footer="0.3"/>
  <pageSetup scale="4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EAAB1-5671-4283-A0D0-11DDA5DBBF04}">
  <sheetPr>
    <tabColor rgb="FF92D050"/>
  </sheetPr>
  <dimension ref="A1:O67"/>
  <sheetViews>
    <sheetView view="pageBreakPreview" zoomScale="60" zoomScaleNormal="80" workbookViewId="0">
      <selection activeCell="L39" sqref="L39"/>
    </sheetView>
  </sheetViews>
  <sheetFormatPr defaultRowHeight="15"/>
  <cols>
    <col min="1" max="1" width="44.140625" customWidth="1"/>
    <col min="2" max="2" width="14.42578125" customWidth="1"/>
    <col min="3" max="3" width="12.28515625" bestFit="1" customWidth="1"/>
    <col min="4" max="4" width="23.7109375" customWidth="1"/>
    <col min="5" max="5" width="21.28515625" customWidth="1"/>
    <col min="6" max="6" width="19" customWidth="1"/>
    <col min="7" max="7" width="16.42578125" customWidth="1"/>
    <col min="8" max="10" width="19.28515625" customWidth="1"/>
    <col min="11" max="12" width="21.5703125" customWidth="1"/>
    <col min="13" max="13" width="18.28515625" customWidth="1"/>
  </cols>
  <sheetData>
    <row r="1" spans="1:15" ht="26.25">
      <c r="A1" s="25" t="s">
        <v>1</v>
      </c>
      <c r="B1" s="25"/>
      <c r="C1" s="13"/>
      <c r="D1" s="13"/>
      <c r="E1" s="13"/>
      <c r="F1" s="13"/>
      <c r="G1" s="13"/>
      <c r="H1" s="13"/>
      <c r="I1" s="13"/>
      <c r="J1" s="13"/>
      <c r="K1" s="13"/>
      <c r="L1" s="13"/>
      <c r="M1" s="13"/>
      <c r="N1" s="13"/>
      <c r="O1" s="13"/>
    </row>
    <row r="2" spans="1:15" ht="17.25">
      <c r="A2" s="66" t="s">
        <v>9</v>
      </c>
      <c r="B2" s="66"/>
      <c r="C2" s="13"/>
      <c r="D2" s="13"/>
      <c r="E2" s="13"/>
      <c r="F2" s="13"/>
      <c r="G2" s="13"/>
      <c r="H2" s="13"/>
      <c r="I2" s="13"/>
      <c r="J2" s="13"/>
      <c r="K2" s="13"/>
      <c r="L2" s="13"/>
      <c r="M2" s="13"/>
      <c r="N2" s="13"/>
      <c r="O2" s="13"/>
    </row>
    <row r="3" spans="1:15" ht="16.5">
      <c r="A3" s="27" t="s">
        <v>81</v>
      </c>
      <c r="B3" s="45"/>
      <c r="C3" s="13"/>
      <c r="D3" s="13"/>
      <c r="E3" s="13"/>
      <c r="F3" s="13"/>
      <c r="G3" s="13"/>
      <c r="H3" s="13"/>
      <c r="I3" s="13"/>
      <c r="J3" s="13"/>
      <c r="K3" s="13"/>
      <c r="L3" s="13"/>
      <c r="M3" s="13"/>
      <c r="N3" s="13"/>
      <c r="O3" s="13"/>
    </row>
    <row r="4" spans="1:15" ht="16.5">
      <c r="A4" s="13"/>
      <c r="B4" s="13"/>
      <c r="C4" s="13"/>
      <c r="D4" s="13"/>
      <c r="E4" s="28" t="s">
        <v>0</v>
      </c>
      <c r="F4" s="13"/>
      <c r="G4" s="13"/>
      <c r="H4" s="13"/>
      <c r="I4" s="13"/>
      <c r="J4" s="13"/>
      <c r="K4" s="13"/>
      <c r="L4" s="13"/>
      <c r="M4" s="13"/>
      <c r="N4" s="13"/>
      <c r="O4" s="13"/>
    </row>
    <row r="5" spans="1:15" ht="18" thickBot="1">
      <c r="A5" s="66"/>
      <c r="B5" s="66"/>
      <c r="C5" s="13"/>
      <c r="D5" s="13"/>
      <c r="E5" s="13"/>
      <c r="F5" s="13"/>
      <c r="G5" s="13"/>
      <c r="H5" s="13"/>
      <c r="I5" s="13"/>
      <c r="J5" s="13"/>
      <c r="K5" s="13"/>
      <c r="L5" s="13"/>
      <c r="M5" s="13"/>
      <c r="N5" s="13"/>
      <c r="O5" s="13"/>
    </row>
    <row r="6" spans="1:15" ht="21" thickBot="1">
      <c r="A6" s="281" t="str">
        <f>+'S&amp;D'!A12</f>
        <v>Natural Gas Utility Distribution</v>
      </c>
      <c r="B6" s="284"/>
      <c r="C6" s="13"/>
      <c r="D6" s="13"/>
      <c r="E6" s="13"/>
      <c r="F6" s="13"/>
      <c r="G6" s="13"/>
      <c r="H6" s="13"/>
      <c r="I6" s="13"/>
      <c r="J6" s="13"/>
      <c r="K6" s="13"/>
      <c r="L6" s="13"/>
      <c r="M6" s="13"/>
      <c r="N6" s="13"/>
      <c r="O6" s="13"/>
    </row>
    <row r="7" spans="1:15" ht="18" thickBot="1">
      <c r="A7" s="66"/>
      <c r="B7" s="66"/>
      <c r="C7" s="30"/>
      <c r="D7" s="30"/>
      <c r="E7" s="30"/>
      <c r="F7" s="30"/>
      <c r="G7" s="30"/>
      <c r="H7" s="13"/>
      <c r="I7" s="30"/>
      <c r="J7" s="30"/>
      <c r="K7" s="30"/>
      <c r="L7" s="30"/>
      <c r="M7" s="30"/>
      <c r="N7" s="13"/>
      <c r="O7" s="13"/>
    </row>
    <row r="8" spans="1:15" ht="26.25">
      <c r="B8" s="32"/>
      <c r="C8" s="13"/>
      <c r="D8" s="13"/>
      <c r="E8" s="33" t="s">
        <v>259</v>
      </c>
      <c r="F8" s="13"/>
      <c r="G8" s="13"/>
      <c r="H8" s="13"/>
      <c r="I8" s="13"/>
      <c r="J8" s="13"/>
      <c r="K8" s="33" t="s">
        <v>260</v>
      </c>
      <c r="L8" s="13"/>
      <c r="M8" s="13"/>
      <c r="N8" s="13"/>
      <c r="O8" s="13"/>
    </row>
    <row r="9" spans="1:15" ht="21" thickBot="1">
      <c r="A9" s="32"/>
      <c r="B9" s="32"/>
      <c r="C9" s="30"/>
      <c r="D9" s="30"/>
      <c r="E9" s="38" t="s">
        <v>95</v>
      </c>
      <c r="F9" s="30"/>
      <c r="G9" s="30"/>
      <c r="H9" s="13"/>
      <c r="I9" s="30"/>
      <c r="J9" s="30"/>
      <c r="K9" s="38" t="s">
        <v>95</v>
      </c>
      <c r="L9" s="30"/>
      <c r="M9" s="30"/>
      <c r="N9" s="13"/>
      <c r="O9" s="13"/>
    </row>
    <row r="10" spans="1:15" ht="17.25" thickBot="1">
      <c r="A10" s="35" t="s">
        <v>0</v>
      </c>
      <c r="B10" s="35"/>
      <c r="C10" s="35" t="s">
        <v>0</v>
      </c>
      <c r="D10" s="35" t="s">
        <v>0</v>
      </c>
      <c r="E10" s="35" t="s">
        <v>0</v>
      </c>
      <c r="F10" s="35" t="s">
        <v>0</v>
      </c>
      <c r="G10" s="35" t="s">
        <v>0</v>
      </c>
      <c r="H10" s="13"/>
      <c r="I10" s="30"/>
      <c r="J10" s="30"/>
      <c r="K10" s="30"/>
      <c r="L10" s="30"/>
      <c r="M10" s="30"/>
      <c r="N10" s="13"/>
      <c r="O10" s="13"/>
    </row>
    <row r="11" spans="1:15" ht="16.5">
      <c r="A11" s="36" t="s">
        <v>0</v>
      </c>
      <c r="B11" s="36"/>
      <c r="C11" s="36" t="s">
        <v>3</v>
      </c>
      <c r="D11" s="36" t="s">
        <v>0</v>
      </c>
      <c r="E11" s="36" t="s">
        <v>132</v>
      </c>
      <c r="F11" s="36" t="s">
        <v>132</v>
      </c>
      <c r="G11" s="36" t="s">
        <v>27</v>
      </c>
      <c r="H11" s="13"/>
      <c r="I11" s="36" t="s">
        <v>3</v>
      </c>
      <c r="J11" s="36" t="s">
        <v>0</v>
      </c>
      <c r="K11" s="36" t="s">
        <v>132</v>
      </c>
      <c r="L11" s="36" t="s">
        <v>132</v>
      </c>
      <c r="M11" s="36" t="s">
        <v>27</v>
      </c>
      <c r="N11" s="13"/>
      <c r="O11" s="13"/>
    </row>
    <row r="12" spans="1:15" ht="17.25" thickBot="1">
      <c r="A12" s="38" t="s">
        <v>2</v>
      </c>
      <c r="B12" s="38"/>
      <c r="C12" s="38" t="s">
        <v>4</v>
      </c>
      <c r="D12" s="38" t="s">
        <v>28</v>
      </c>
      <c r="E12" s="38" t="s">
        <v>195</v>
      </c>
      <c r="F12" s="38" t="s">
        <v>29</v>
      </c>
      <c r="G12" s="38" t="s">
        <v>30</v>
      </c>
      <c r="H12" s="13"/>
      <c r="I12" s="38" t="s">
        <v>4</v>
      </c>
      <c r="J12" s="38" t="s">
        <v>28</v>
      </c>
      <c r="K12" s="38" t="s">
        <v>195</v>
      </c>
      <c r="L12" s="38" t="s">
        <v>29</v>
      </c>
      <c r="M12" s="38" t="s">
        <v>30</v>
      </c>
      <c r="N12" s="13"/>
      <c r="O12" s="13"/>
    </row>
    <row r="13" spans="1:15" ht="16.5">
      <c r="A13" s="40" t="s">
        <v>0</v>
      </c>
      <c r="B13" s="40"/>
      <c r="C13" s="40" t="s">
        <v>0</v>
      </c>
      <c r="D13" s="41" t="s">
        <v>134</v>
      </c>
      <c r="E13" s="79" t="s">
        <v>135</v>
      </c>
      <c r="F13" s="40" t="s">
        <v>0</v>
      </c>
      <c r="G13" s="40" t="s">
        <v>0</v>
      </c>
      <c r="H13" s="13"/>
      <c r="I13" s="40" t="s">
        <v>0</v>
      </c>
      <c r="J13" s="41" t="s">
        <v>134</v>
      </c>
      <c r="K13" s="79" t="s">
        <v>133</v>
      </c>
      <c r="L13" s="40" t="s">
        <v>0</v>
      </c>
      <c r="M13" s="40" t="s">
        <v>0</v>
      </c>
      <c r="N13" s="13"/>
      <c r="O13" s="13"/>
    </row>
    <row r="14" spans="1:15" ht="16.5">
      <c r="A14" s="36"/>
      <c r="B14" s="36"/>
      <c r="C14" s="36"/>
      <c r="D14" s="36"/>
      <c r="E14" s="36"/>
      <c r="F14" s="36"/>
      <c r="G14" s="36"/>
      <c r="H14" s="13"/>
      <c r="I14" s="36"/>
      <c r="J14" s="36"/>
      <c r="K14" s="36"/>
      <c r="L14" s="36"/>
      <c r="M14" s="36"/>
      <c r="N14" s="13"/>
      <c r="O14" s="13"/>
    </row>
    <row r="15" spans="1:15" ht="16.5">
      <c r="A15" s="13"/>
      <c r="B15" s="13"/>
      <c r="C15" s="13"/>
      <c r="D15" s="13"/>
      <c r="E15" s="13"/>
      <c r="F15" s="13"/>
      <c r="G15" s="13"/>
      <c r="H15" s="13"/>
      <c r="I15" s="13"/>
      <c r="J15" s="13"/>
      <c r="K15" s="13"/>
      <c r="L15" s="13"/>
      <c r="M15" s="13"/>
      <c r="N15" s="13"/>
      <c r="O15" s="13"/>
    </row>
    <row r="16" spans="1:15" ht="17.25">
      <c r="A16" s="45" t="str">
        <f>+'S&amp;D'!A22</f>
        <v>Atmos Energy Corp</v>
      </c>
      <c r="B16" s="45"/>
      <c r="C16" s="36" t="str">
        <f>+'S&amp;D'!B22</f>
        <v>ATO</v>
      </c>
      <c r="D16" s="63">
        <f>'S&amp;D'!G22</f>
        <v>112.07</v>
      </c>
      <c r="E16" s="65">
        <v>5.6</v>
      </c>
      <c r="F16" s="73">
        <f>D16/E16</f>
        <v>20.012499999999999</v>
      </c>
      <c r="G16" s="59">
        <f t="shared" ref="G16:G25" si="0">1/F16</f>
        <v>4.9968769519050597E-2</v>
      </c>
      <c r="H16" s="13"/>
      <c r="I16" s="36" t="s">
        <v>45</v>
      </c>
      <c r="J16" s="63">
        <f>+D16</f>
        <v>112.07</v>
      </c>
      <c r="K16" s="65">
        <v>6</v>
      </c>
      <c r="L16" s="73">
        <f>J16/K16</f>
        <v>18.678333333333331</v>
      </c>
      <c r="M16" s="59">
        <f t="shared" ref="M16:M25" si="1">1/L16</f>
        <v>5.353796734183993E-2</v>
      </c>
      <c r="N16" s="13"/>
      <c r="O16" s="13"/>
    </row>
    <row r="17" spans="1:15" ht="17.25">
      <c r="A17" s="45" t="str">
        <f>+'S&amp;D'!A23</f>
        <v>Black Hills Corporation</v>
      </c>
      <c r="B17" s="45"/>
      <c r="C17" s="36" t="str">
        <f>+'S&amp;D'!B23</f>
        <v>BKH</v>
      </c>
      <c r="D17" s="63">
        <f>'S&amp;D'!G23</f>
        <v>70.34</v>
      </c>
      <c r="E17" s="65">
        <v>3.74</v>
      </c>
      <c r="F17" s="73">
        <f t="shared" ref="F17:F25" si="2">D17/E17</f>
        <v>18.807486631016044</v>
      </c>
      <c r="G17" s="59">
        <f t="shared" si="0"/>
        <v>5.3170315609894797E-2</v>
      </c>
      <c r="H17" s="13"/>
      <c r="I17" s="36" t="s">
        <v>46</v>
      </c>
      <c r="J17" s="63">
        <f t="shared" ref="J17:J25" si="3">+D17</f>
        <v>70.34</v>
      </c>
      <c r="K17" s="65">
        <v>4.05</v>
      </c>
      <c r="L17" s="73">
        <f t="shared" ref="L17:L25" si="4">J17/K17</f>
        <v>17.367901234567903</v>
      </c>
      <c r="M17" s="59">
        <f t="shared" si="1"/>
        <v>5.7577480807506395E-2</v>
      </c>
      <c r="N17" s="13"/>
      <c r="O17" s="13"/>
    </row>
    <row r="18" spans="1:15" ht="17.25">
      <c r="A18" s="45" t="str">
        <f>+'S&amp;D'!A24</f>
        <v>CenterPoint Energy Inc.</v>
      </c>
      <c r="B18" s="45"/>
      <c r="C18" s="36" t="str">
        <f>+'S&amp;D'!B24</f>
        <v>CNP</v>
      </c>
      <c r="D18" s="63">
        <f>'S&amp;D'!G24</f>
        <v>29.99</v>
      </c>
      <c r="E18" s="65">
        <v>1.38</v>
      </c>
      <c r="F18" s="73">
        <f t="shared" si="2"/>
        <v>21.731884057971016</v>
      </c>
      <c r="G18" s="59">
        <f t="shared" si="0"/>
        <v>4.6015338446148711E-2</v>
      </c>
      <c r="H18" s="13"/>
      <c r="I18" s="36" t="s">
        <v>50</v>
      </c>
      <c r="J18" s="63">
        <f t="shared" si="3"/>
        <v>29.99</v>
      </c>
      <c r="K18" s="65">
        <v>1.5</v>
      </c>
      <c r="L18" s="73">
        <f t="shared" si="4"/>
        <v>19.993333333333332</v>
      </c>
      <c r="M18" s="59">
        <f t="shared" si="1"/>
        <v>5.0016672224074694E-2</v>
      </c>
      <c r="N18" s="13"/>
      <c r="O18" s="13"/>
    </row>
    <row r="19" spans="1:15" ht="17.25">
      <c r="A19" s="45" t="str">
        <f>+'S&amp;D'!A25</f>
        <v>CMS Energy Corporation</v>
      </c>
      <c r="B19" s="45"/>
      <c r="C19" s="36" t="str">
        <f>+'S&amp;D'!B25</f>
        <v>CMS</v>
      </c>
      <c r="D19" s="63">
        <f>'S&amp;D'!G25</f>
        <v>63.33</v>
      </c>
      <c r="E19" s="65">
        <v>2.84</v>
      </c>
      <c r="F19" s="73">
        <f>D19/E19</f>
        <v>22.299295774647888</v>
      </c>
      <c r="G19" s="59">
        <f t="shared" si="0"/>
        <v>4.4844465498184112E-2</v>
      </c>
      <c r="H19" s="13"/>
      <c r="I19" s="36" t="s">
        <v>51</v>
      </c>
      <c r="J19" s="63">
        <f t="shared" si="3"/>
        <v>63.33</v>
      </c>
      <c r="K19" s="65">
        <v>3.05</v>
      </c>
      <c r="L19" s="73">
        <f t="shared" si="4"/>
        <v>20.763934426229508</v>
      </c>
      <c r="M19" s="59">
        <f t="shared" si="1"/>
        <v>4.8160429496289278E-2</v>
      </c>
      <c r="N19" s="13"/>
      <c r="O19" s="13"/>
    </row>
    <row r="20" spans="1:15" ht="17.25">
      <c r="A20" s="45" t="str">
        <f>+'S&amp;D'!A26</f>
        <v>New Jersey Resources Corp</v>
      </c>
      <c r="B20" s="45"/>
      <c r="C20" s="36" t="str">
        <f>+'S&amp;D'!B26</f>
        <v>NJR</v>
      </c>
      <c r="D20" s="63">
        <f>'S&amp;D'!G26</f>
        <v>49.62</v>
      </c>
      <c r="E20" s="65">
        <v>2.5</v>
      </c>
      <c r="F20" s="73">
        <f t="shared" si="2"/>
        <v>19.847999999999999</v>
      </c>
      <c r="G20" s="59">
        <f t="shared" si="0"/>
        <v>5.0382910116888356E-2</v>
      </c>
      <c r="H20" s="13"/>
      <c r="I20" s="36" t="s">
        <v>47</v>
      </c>
      <c r="J20" s="63">
        <f t="shared" si="3"/>
        <v>49.62</v>
      </c>
      <c r="K20" s="65">
        <v>2.75</v>
      </c>
      <c r="L20" s="73">
        <f t="shared" si="4"/>
        <v>18.043636363636363</v>
      </c>
      <c r="M20" s="59">
        <f t="shared" si="1"/>
        <v>5.5421201128577187E-2</v>
      </c>
      <c r="N20" s="13"/>
      <c r="O20" s="13"/>
    </row>
    <row r="21" spans="1:15" ht="17.25">
      <c r="A21" s="45" t="str">
        <f>+'S&amp;D'!A27</f>
        <v>NISOURCE Inc.</v>
      </c>
      <c r="B21" s="45"/>
      <c r="C21" s="36" t="str">
        <f>+'S&amp;D'!B27</f>
        <v>NI</v>
      </c>
      <c r="D21" s="63">
        <f>'S&amp;D'!G27</f>
        <v>27.42</v>
      </c>
      <c r="E21" s="65">
        <v>1.45</v>
      </c>
      <c r="F21" s="73">
        <f t="shared" si="2"/>
        <v>18.910344827586208</v>
      </c>
      <c r="G21" s="59">
        <f t="shared" si="0"/>
        <v>5.2881108679795764E-2</v>
      </c>
      <c r="H21" s="13"/>
      <c r="I21" s="36" t="s">
        <v>48</v>
      </c>
      <c r="J21" s="63">
        <f t="shared" si="3"/>
        <v>27.42</v>
      </c>
      <c r="K21" s="65">
        <v>1.55</v>
      </c>
      <c r="L21" s="73">
        <f t="shared" si="4"/>
        <v>17.690322580645162</v>
      </c>
      <c r="M21" s="59">
        <f t="shared" si="1"/>
        <v>5.6528081692195475E-2</v>
      </c>
      <c r="N21" s="13"/>
      <c r="O21" s="13"/>
    </row>
    <row r="22" spans="1:15" ht="17.25">
      <c r="A22" s="45" t="str">
        <f>+'S&amp;D'!A28</f>
        <v xml:space="preserve">Northwest Natural Holding Company </v>
      </c>
      <c r="B22" s="45"/>
      <c r="C22" s="36" t="str">
        <f>+'S&amp;D'!B28</f>
        <v>NWN</v>
      </c>
      <c r="D22" s="63">
        <f>'S&amp;D'!G28</f>
        <v>47.59</v>
      </c>
      <c r="E22" s="65">
        <v>2.6</v>
      </c>
      <c r="F22" s="73">
        <f t="shared" si="2"/>
        <v>18.303846153846155</v>
      </c>
      <c r="G22" s="59">
        <f t="shared" si="0"/>
        <v>5.4633326329060719E-2</v>
      </c>
      <c r="H22" s="13"/>
      <c r="I22" s="36" t="s">
        <v>58</v>
      </c>
      <c r="J22" s="63">
        <f t="shared" si="3"/>
        <v>47.59</v>
      </c>
      <c r="K22" s="65">
        <v>2.75</v>
      </c>
      <c r="L22" s="73">
        <f t="shared" si="4"/>
        <v>17.305454545454548</v>
      </c>
      <c r="M22" s="59">
        <f t="shared" si="1"/>
        <v>5.7785249001891144E-2</v>
      </c>
      <c r="N22" s="13"/>
      <c r="O22" s="13"/>
    </row>
    <row r="23" spans="1:15" ht="17.25">
      <c r="A23" s="45" t="str">
        <f>+'S&amp;D'!A29</f>
        <v>One Gas INC</v>
      </c>
      <c r="B23" s="45"/>
      <c r="C23" s="36" t="str">
        <f>+'S&amp;D'!B29</f>
        <v>OGS</v>
      </c>
      <c r="D23" s="63">
        <f>'S&amp;D'!G29</f>
        <v>75.72</v>
      </c>
      <c r="E23" s="65">
        <v>4.05</v>
      </c>
      <c r="F23" s="73">
        <f t="shared" si="2"/>
        <v>18.696296296296296</v>
      </c>
      <c r="G23" s="59">
        <f t="shared" si="0"/>
        <v>5.3486529318541996E-2</v>
      </c>
      <c r="H23" s="13"/>
      <c r="I23" s="36" t="s">
        <v>59</v>
      </c>
      <c r="J23" s="63">
        <f>+D23</f>
        <v>75.72</v>
      </c>
      <c r="K23" s="65">
        <v>4.25</v>
      </c>
      <c r="L23" s="73">
        <f>J23/K23</f>
        <v>17.816470588235294</v>
      </c>
      <c r="M23" s="59">
        <f t="shared" si="1"/>
        <v>5.6127839408346543E-2</v>
      </c>
      <c r="N23" s="13"/>
      <c r="O23" s="13"/>
    </row>
    <row r="24" spans="1:15" ht="17.25">
      <c r="A24" s="45" t="str">
        <f>+'S&amp;D'!A30</f>
        <v>Southwest Gas Holdings, Inc</v>
      </c>
      <c r="B24" s="45"/>
      <c r="C24" s="36" t="str">
        <f>+'S&amp;D'!B30</f>
        <v>SWX</v>
      </c>
      <c r="D24" s="63">
        <f>'S&amp;D'!G30</f>
        <v>61.88</v>
      </c>
      <c r="E24" s="65">
        <v>3.5</v>
      </c>
      <c r="F24" s="73">
        <f t="shared" si="2"/>
        <v>17.68</v>
      </c>
      <c r="G24" s="59">
        <f t="shared" si="0"/>
        <v>5.6561085972850679E-2</v>
      </c>
      <c r="H24" s="13"/>
      <c r="I24" s="36" t="str">
        <f>+C24</f>
        <v>SWX</v>
      </c>
      <c r="J24" s="63">
        <f>+D24</f>
        <v>61.88</v>
      </c>
      <c r="K24" s="65">
        <v>4</v>
      </c>
      <c r="L24" s="73">
        <f>J24/K24</f>
        <v>15.47</v>
      </c>
      <c r="M24" s="59">
        <f>1/L24</f>
        <v>6.464124111182934E-2</v>
      </c>
      <c r="N24" s="13"/>
      <c r="O24" s="13"/>
    </row>
    <row r="25" spans="1:15" ht="17.25">
      <c r="A25" s="45" t="str">
        <f>+'S&amp;D'!A31</f>
        <v>Spire Inc / Laclede Group Inc</v>
      </c>
      <c r="B25" s="45"/>
      <c r="C25" s="36" t="str">
        <f>+'S&amp;D'!B31</f>
        <v>SR</v>
      </c>
      <c r="D25" s="63">
        <f>'S&amp;D'!G31</f>
        <v>68.86</v>
      </c>
      <c r="E25" s="65">
        <v>3.95</v>
      </c>
      <c r="F25" s="73">
        <f t="shared" si="2"/>
        <v>17.432911392405064</v>
      </c>
      <c r="G25" s="59">
        <f t="shared" si="0"/>
        <v>5.7362765030496657E-2</v>
      </c>
      <c r="H25" s="13"/>
      <c r="I25" s="36" t="s">
        <v>62</v>
      </c>
      <c r="J25" s="63">
        <f t="shared" si="3"/>
        <v>68.86</v>
      </c>
      <c r="K25" s="65">
        <v>4.6500000000000004</v>
      </c>
      <c r="L25" s="73">
        <f t="shared" si="4"/>
        <v>14.808602150537633</v>
      </c>
      <c r="M25" s="59">
        <f t="shared" si="1"/>
        <v>6.7528318327040385E-2</v>
      </c>
      <c r="N25" s="13"/>
      <c r="O25" s="13"/>
    </row>
    <row r="26" spans="1:15" ht="17.25">
      <c r="A26" s="45" t="str">
        <f>+'S&amp;D'!A32</f>
        <v>WEC Energy Group</v>
      </c>
      <c r="B26" s="45"/>
      <c r="C26" s="36" t="str">
        <f>+'S&amp;D'!B32</f>
        <v>WEC</v>
      </c>
      <c r="D26" s="63">
        <f>'S&amp;D'!G32</f>
        <v>93.76</v>
      </c>
      <c r="E26" s="65">
        <v>4.46</v>
      </c>
      <c r="F26" s="73">
        <f>D26/E26</f>
        <v>21.022421524663677</v>
      </c>
      <c r="G26" s="59">
        <f>1/F26</f>
        <v>4.7568259385665529E-2</v>
      </c>
      <c r="I26" s="36" t="s">
        <v>49</v>
      </c>
      <c r="J26" s="63">
        <f>+D26</f>
        <v>93.76</v>
      </c>
      <c r="K26" s="65">
        <v>4.5999999999999996</v>
      </c>
      <c r="L26" s="73">
        <f>J26/K26</f>
        <v>20.382608695652177</v>
      </c>
      <c r="M26" s="59">
        <f>1/L26</f>
        <v>4.906143344709897E-2</v>
      </c>
      <c r="N26" s="13"/>
      <c r="O26" s="13"/>
    </row>
    <row r="27" spans="1:15" ht="18" thickBot="1">
      <c r="A27" s="13"/>
      <c r="B27" s="13"/>
      <c r="C27" s="74"/>
      <c r="D27" s="74"/>
      <c r="E27" s="74"/>
      <c r="F27" s="74"/>
      <c r="G27" s="74"/>
      <c r="H27" s="13"/>
      <c r="I27" s="74"/>
      <c r="J27" s="68" t="s">
        <v>0</v>
      </c>
      <c r="K27" s="74"/>
      <c r="L27" s="74"/>
      <c r="M27" s="74"/>
      <c r="N27" s="13"/>
      <c r="O27" s="13"/>
    </row>
    <row r="28" spans="1:15" ht="17.25" thickTop="1">
      <c r="A28" s="13"/>
      <c r="B28" s="13"/>
      <c r="D28" s="15" t="s">
        <v>56</v>
      </c>
      <c r="E28" s="322">
        <v>5.6</v>
      </c>
      <c r="F28" s="322">
        <v>22.3</v>
      </c>
      <c r="G28" s="311">
        <v>5.74E-2</v>
      </c>
      <c r="H28" s="13"/>
      <c r="J28" s="15" t="s">
        <v>56</v>
      </c>
      <c r="K28" s="322">
        <v>6</v>
      </c>
      <c r="L28" s="322">
        <v>20.76</v>
      </c>
      <c r="M28" s="311">
        <v>6.7500000000000004E-2</v>
      </c>
      <c r="N28" s="13"/>
      <c r="O28" s="13"/>
    </row>
    <row r="29" spans="1:15" ht="16.5">
      <c r="A29" s="13"/>
      <c r="B29" s="13"/>
      <c r="D29" s="306" t="s">
        <v>57</v>
      </c>
      <c r="E29" s="328">
        <v>1.38</v>
      </c>
      <c r="F29" s="328">
        <v>17.43</v>
      </c>
      <c r="G29" s="312">
        <v>4.48E-2</v>
      </c>
      <c r="H29" s="13"/>
      <c r="J29" s="306" t="s">
        <v>57</v>
      </c>
      <c r="K29" s="328">
        <v>1.5</v>
      </c>
      <c r="L29" s="328">
        <v>14.81</v>
      </c>
      <c r="M29" s="312">
        <v>4.82E-2</v>
      </c>
      <c r="N29" s="13"/>
      <c r="O29" s="13"/>
    </row>
    <row r="30" spans="1:15" ht="16.5">
      <c r="A30" s="13"/>
      <c r="B30" s="13"/>
      <c r="D30" s="15" t="s">
        <v>18</v>
      </c>
      <c r="E30" s="75">
        <f>MEDIAN(E16:E26)</f>
        <v>3.5</v>
      </c>
      <c r="F30" s="22">
        <f>MEDIAN(F16:F26)</f>
        <v>18.910344827586208</v>
      </c>
      <c r="G30" s="59">
        <f>MEDIAN(G16:G26)</f>
        <v>5.2881108679795764E-2</v>
      </c>
      <c r="H30" s="13"/>
      <c r="J30" s="15" t="s">
        <v>18</v>
      </c>
      <c r="K30" s="75">
        <f>MEDIAN(K16:K26)</f>
        <v>4</v>
      </c>
      <c r="L30" s="22">
        <f>MEDIAN(L16:L26)</f>
        <v>17.816470588235294</v>
      </c>
      <c r="M30" s="59">
        <f>MEDIAN(M16:M26)</f>
        <v>5.6127839408346543E-2</v>
      </c>
      <c r="N30" s="13"/>
      <c r="O30" s="13"/>
    </row>
    <row r="31" spans="1:15" ht="16.5">
      <c r="A31" s="13"/>
      <c r="B31" s="13"/>
      <c r="D31" s="15" t="s">
        <v>474</v>
      </c>
      <c r="E31" s="18">
        <f>AVERAGE(E16:E26)</f>
        <v>3.2790909090909093</v>
      </c>
      <c r="F31" s="22">
        <f>AVERAGE(F16:F26)</f>
        <v>19.522271514402942</v>
      </c>
      <c r="G31" s="76">
        <f>AVERAGE(G16:G26)</f>
        <v>5.1534079446052546E-2</v>
      </c>
      <c r="H31" s="13"/>
      <c r="J31" s="15" t="s">
        <v>474</v>
      </c>
      <c r="K31" s="18">
        <f>AVERAGE(K16:K26)</f>
        <v>3.5590909090909095</v>
      </c>
      <c r="L31" s="22">
        <f>AVERAGE(L16:L26)</f>
        <v>18.029145204693204</v>
      </c>
      <c r="M31" s="76">
        <f>AVERAGE(M16:M26)</f>
        <v>5.6035083089699039E-2</v>
      </c>
      <c r="N31" s="13"/>
      <c r="O31" s="13"/>
    </row>
    <row r="32" spans="1:15" ht="16.5">
      <c r="A32" s="13"/>
      <c r="B32" s="13"/>
      <c r="C32" s="13"/>
      <c r="D32" s="13"/>
      <c r="E32" s="13"/>
      <c r="F32" s="13"/>
      <c r="G32" s="13"/>
      <c r="H32" s="13"/>
      <c r="I32" s="13"/>
      <c r="J32" s="13"/>
      <c r="K32" s="13"/>
      <c r="L32" s="13"/>
      <c r="M32" s="13"/>
      <c r="N32" s="13"/>
      <c r="O32" s="13"/>
    </row>
    <row r="33" spans="1:15" ht="26.25">
      <c r="A33" s="13"/>
      <c r="B33" s="13"/>
      <c r="C33" s="13"/>
      <c r="D33" s="13"/>
      <c r="E33" s="80" t="s">
        <v>93</v>
      </c>
      <c r="F33" s="354">
        <v>19.52</v>
      </c>
      <c r="G33" s="355">
        <v>5.1499999999999997E-2</v>
      </c>
      <c r="H33" s="13"/>
      <c r="I33" s="13"/>
      <c r="J33" s="13"/>
      <c r="K33" s="80" t="s">
        <v>93</v>
      </c>
      <c r="L33" s="356">
        <v>18.03</v>
      </c>
      <c r="M33" s="355">
        <v>5.6000000000000001E-2</v>
      </c>
      <c r="N33" s="13"/>
      <c r="O33" s="13"/>
    </row>
    <row r="34" spans="1:15" ht="16.5">
      <c r="A34" s="13"/>
      <c r="B34" s="13"/>
      <c r="C34" s="13"/>
      <c r="D34" s="13"/>
      <c r="E34" s="13"/>
      <c r="F34" s="13"/>
      <c r="K34" s="13"/>
      <c r="L34" s="13"/>
      <c r="M34" s="13"/>
      <c r="N34" s="13"/>
      <c r="O34" s="13"/>
    </row>
    <row r="35" spans="1:15" ht="16.5">
      <c r="A35" s="13"/>
      <c r="B35" s="13"/>
      <c r="C35" s="13"/>
      <c r="D35" s="13"/>
      <c r="E35" s="13"/>
      <c r="F35" s="13"/>
      <c r="K35" s="13"/>
      <c r="L35" s="13"/>
      <c r="M35" s="13"/>
      <c r="N35" s="13"/>
      <c r="O35" s="13"/>
    </row>
    <row r="36" spans="1:15" ht="17.25" thickBot="1">
      <c r="A36" s="13"/>
      <c r="B36" s="13"/>
      <c r="C36" s="13"/>
      <c r="D36" s="13"/>
      <c r="E36" s="13"/>
      <c r="F36" s="13"/>
      <c r="K36" s="13"/>
      <c r="L36" s="13"/>
      <c r="M36" s="13"/>
      <c r="N36" s="13"/>
      <c r="O36" s="13"/>
    </row>
    <row r="37" spans="1:15" ht="30.75" customHeight="1" thickBot="1">
      <c r="A37" s="78" t="s">
        <v>0</v>
      </c>
      <c r="B37" s="78"/>
      <c r="C37" s="13"/>
      <c r="D37" s="13"/>
      <c r="E37" s="13"/>
      <c r="F37" s="13"/>
      <c r="G37" s="25" t="s">
        <v>145</v>
      </c>
      <c r="H37" s="13"/>
      <c r="I37" s="237">
        <f>(+F33+L33)/2</f>
        <v>18.774999999999999</v>
      </c>
      <c r="J37" s="238">
        <f>(+G33+M33)/2</f>
        <v>5.3749999999999999E-2</v>
      </c>
      <c r="N37" s="13"/>
      <c r="O37" s="13"/>
    </row>
    <row r="38" spans="1:15" ht="16.5">
      <c r="A38" s="78" t="s">
        <v>0</v>
      </c>
      <c r="B38" s="78"/>
      <c r="C38" s="13"/>
      <c r="D38" s="13"/>
      <c r="E38" s="13"/>
      <c r="F38" s="13"/>
      <c r="G38" s="13"/>
      <c r="H38" s="13"/>
      <c r="I38" s="13"/>
      <c r="J38" s="13"/>
      <c r="K38" s="13"/>
      <c r="L38" s="13"/>
      <c r="M38" s="13"/>
      <c r="N38" s="13"/>
      <c r="O38" s="13"/>
    </row>
    <row r="39" spans="1:15" ht="16.5">
      <c r="A39" s="13"/>
      <c r="B39" s="13"/>
      <c r="C39" s="13"/>
      <c r="D39" s="13"/>
      <c r="E39" s="13"/>
      <c r="F39" s="13"/>
      <c r="G39" s="13"/>
      <c r="H39" s="13"/>
      <c r="I39" s="13"/>
      <c r="J39" s="13"/>
      <c r="K39" s="13"/>
      <c r="L39" s="13"/>
      <c r="M39" s="13"/>
      <c r="N39" s="13"/>
      <c r="O39" s="13"/>
    </row>
    <row r="40" spans="1:15" ht="16.5">
      <c r="A40" s="13"/>
      <c r="B40" s="13"/>
      <c r="C40" s="13"/>
      <c r="D40" s="13"/>
      <c r="E40" s="13"/>
      <c r="F40" s="13"/>
      <c r="G40" s="13"/>
      <c r="H40" s="13"/>
      <c r="I40" s="13"/>
      <c r="J40" s="13"/>
      <c r="K40" s="13"/>
      <c r="L40" s="13"/>
      <c r="M40" s="13"/>
      <c r="N40" s="13"/>
      <c r="O40" s="13"/>
    </row>
    <row r="41" spans="1:15" ht="15.75" thickBot="1">
      <c r="B41" s="165"/>
      <c r="C41" s="165"/>
      <c r="D41" s="165"/>
      <c r="E41" s="165"/>
      <c r="F41" s="165"/>
      <c r="G41" s="165"/>
      <c r="H41" s="165"/>
    </row>
    <row r="42" spans="1:15" ht="26.25">
      <c r="B42" s="32"/>
      <c r="C42" s="13"/>
      <c r="D42" s="13"/>
      <c r="E42" s="33" t="s">
        <v>472</v>
      </c>
      <c r="F42" s="13"/>
      <c r="G42" s="13"/>
    </row>
    <row r="43" spans="1:15" ht="21" thickBot="1">
      <c r="A43" s="32"/>
      <c r="B43" s="166"/>
      <c r="C43" s="30"/>
      <c r="D43" s="30"/>
      <c r="E43" s="38" t="s">
        <v>95</v>
      </c>
      <c r="F43" s="30"/>
      <c r="G43" s="30"/>
      <c r="H43" s="165"/>
    </row>
    <row r="44" spans="1:15" ht="15.75" thickBot="1">
      <c r="A44" s="35" t="s">
        <v>0</v>
      </c>
      <c r="B44" s="35"/>
      <c r="C44" s="35" t="s">
        <v>0</v>
      </c>
      <c r="D44" s="35" t="s">
        <v>0</v>
      </c>
      <c r="E44" s="35" t="s">
        <v>0</v>
      </c>
      <c r="F44" s="35" t="s">
        <v>0</v>
      </c>
      <c r="G44" s="35" t="s">
        <v>0</v>
      </c>
    </row>
    <row r="45" spans="1:15" ht="16.5">
      <c r="A45" s="36" t="s">
        <v>0</v>
      </c>
      <c r="B45" s="36"/>
      <c r="C45" s="36" t="s">
        <v>3</v>
      </c>
      <c r="D45" s="36" t="s">
        <v>389</v>
      </c>
      <c r="E45" s="36" t="s">
        <v>390</v>
      </c>
      <c r="F45" s="36" t="s">
        <v>132</v>
      </c>
      <c r="G45" s="36" t="s">
        <v>27</v>
      </c>
    </row>
    <row r="46" spans="1:15" ht="17.25" thickBot="1">
      <c r="A46" s="38" t="s">
        <v>2</v>
      </c>
      <c r="B46" s="38"/>
      <c r="C46" s="38" t="s">
        <v>4</v>
      </c>
      <c r="D46" s="38" t="s">
        <v>28</v>
      </c>
      <c r="E46" s="38" t="s">
        <v>190</v>
      </c>
      <c r="F46" s="38" t="s">
        <v>29</v>
      </c>
      <c r="G46" s="38" t="s">
        <v>30</v>
      </c>
    </row>
    <row r="47" spans="1:15">
      <c r="A47" s="40" t="s">
        <v>0</v>
      </c>
      <c r="B47" s="40"/>
      <c r="C47" s="40" t="s">
        <v>0</v>
      </c>
      <c r="D47" s="41" t="s">
        <v>134</v>
      </c>
      <c r="E47" s="79" t="s">
        <v>266</v>
      </c>
      <c r="F47" s="40" t="s">
        <v>0</v>
      </c>
      <c r="G47" s="40" t="s">
        <v>0</v>
      </c>
    </row>
    <row r="48" spans="1:15" ht="16.5">
      <c r="A48" s="36"/>
      <c r="B48" s="36"/>
      <c r="C48" s="36"/>
      <c r="D48" s="36"/>
      <c r="E48" s="36"/>
      <c r="F48" s="36"/>
      <c r="G48" s="36"/>
    </row>
    <row r="49" spans="1:7" ht="16.5">
      <c r="A49" s="13"/>
      <c r="B49" s="13"/>
      <c r="C49" s="13"/>
      <c r="D49" s="13"/>
      <c r="E49" s="13"/>
      <c r="F49" s="13"/>
      <c r="G49" s="13"/>
    </row>
    <row r="50" spans="1:7" ht="17.25">
      <c r="A50" s="45" t="str">
        <f>+'S&amp;D'!A22</f>
        <v>Atmos Energy Corp</v>
      </c>
      <c r="B50" s="45"/>
      <c r="C50" s="36" t="str">
        <f>+'S&amp;D'!B22</f>
        <v>ATO</v>
      </c>
      <c r="D50" s="63">
        <f>'S&amp;D'!G22</f>
        <v>112.07</v>
      </c>
      <c r="E50" s="65">
        <v>7.85</v>
      </c>
      <c r="F50" s="73">
        <f>D50/E50</f>
        <v>14.276433121019108</v>
      </c>
      <c r="G50" s="59">
        <f t="shared" ref="G50:G60" si="5">1/F50</f>
        <v>7.0045507272240556E-2</v>
      </c>
    </row>
    <row r="51" spans="1:7" ht="17.25">
      <c r="A51" s="45" t="str">
        <f>+'S&amp;D'!A23</f>
        <v>Black Hills Corporation</v>
      </c>
      <c r="B51" s="45"/>
      <c r="C51" s="36" t="str">
        <f>+'S&amp;D'!B23</f>
        <v>BKH</v>
      </c>
      <c r="D51" s="63">
        <f>'S&amp;D'!G23</f>
        <v>70.34</v>
      </c>
      <c r="E51" s="65">
        <v>5.25</v>
      </c>
      <c r="F51" s="73">
        <f>D51/E51</f>
        <v>13.398095238095239</v>
      </c>
      <c r="G51" s="59">
        <f t="shared" si="5"/>
        <v>7.4637475120841623E-2</v>
      </c>
    </row>
    <row r="52" spans="1:7" ht="17.25">
      <c r="A52" s="45" t="str">
        <f>+'S&amp;D'!A24</f>
        <v>CenterPoint Energy Inc.</v>
      </c>
      <c r="B52" s="45"/>
      <c r="C52" s="36" t="str">
        <f>+'S&amp;D'!B24</f>
        <v>CNP</v>
      </c>
      <c r="D52" s="63">
        <f>'S&amp;D'!G24</f>
        <v>29.99</v>
      </c>
      <c r="E52" s="65">
        <v>1.85</v>
      </c>
      <c r="F52" s="73">
        <f>D52/E52</f>
        <v>16.210810810810809</v>
      </c>
      <c r="G52" s="59">
        <f t="shared" si="5"/>
        <v>6.168722907635879E-2</v>
      </c>
    </row>
    <row r="53" spans="1:7" ht="17.25">
      <c r="A53" s="45" t="str">
        <f>+'S&amp;D'!A25</f>
        <v>CMS Energy Corporation</v>
      </c>
      <c r="B53" s="45"/>
      <c r="C53" s="36" t="str">
        <f>+'S&amp;D'!B25</f>
        <v>CMS</v>
      </c>
      <c r="D53" s="63">
        <f>'S&amp;D'!G25</f>
        <v>63.33</v>
      </c>
      <c r="E53" s="65">
        <v>3.75</v>
      </c>
      <c r="F53" s="73">
        <f>D53/E53</f>
        <v>16.887999999999998</v>
      </c>
      <c r="G53" s="59">
        <f t="shared" si="5"/>
        <v>5.9213642823306496E-2</v>
      </c>
    </row>
    <row r="54" spans="1:7" ht="17.25">
      <c r="A54" s="45" t="str">
        <f>+'S&amp;D'!A26</f>
        <v>New Jersey Resources Corp</v>
      </c>
      <c r="B54" s="45"/>
      <c r="C54" s="36" t="str">
        <f>+'S&amp;D'!B26</f>
        <v>NJR</v>
      </c>
      <c r="D54" s="63">
        <f>'S&amp;D'!G26</f>
        <v>49.62</v>
      </c>
      <c r="E54" s="65">
        <v>3.45</v>
      </c>
      <c r="F54" s="73">
        <f t="shared" ref="F54:F60" si="6">D54/E54</f>
        <v>14.382608695652172</v>
      </c>
      <c r="G54" s="59">
        <f t="shared" si="5"/>
        <v>6.9528415961305934E-2</v>
      </c>
    </row>
    <row r="55" spans="1:7" ht="17.25">
      <c r="A55" s="45" t="str">
        <f>+'S&amp;D'!A27</f>
        <v>NISOURCE Inc.</v>
      </c>
      <c r="B55" s="45"/>
      <c r="C55" s="36" t="str">
        <f>+'S&amp;D'!B27</f>
        <v>NI</v>
      </c>
      <c r="D55" s="63">
        <f>'S&amp;D'!G27</f>
        <v>27.42</v>
      </c>
      <c r="E55" s="65">
        <v>2.1</v>
      </c>
      <c r="F55" s="73">
        <f t="shared" si="6"/>
        <v>13.057142857142857</v>
      </c>
      <c r="G55" s="59">
        <f t="shared" si="5"/>
        <v>7.6586433260393869E-2</v>
      </c>
    </row>
    <row r="56" spans="1:7" ht="17.25">
      <c r="A56" s="45" t="str">
        <f>+'S&amp;D'!A28</f>
        <v xml:space="preserve">Northwest Natural Holding Company </v>
      </c>
      <c r="B56" s="45"/>
      <c r="C56" s="36" t="str">
        <f>+'S&amp;D'!B28</f>
        <v>NWN</v>
      </c>
      <c r="D56" s="63">
        <f>'S&amp;D'!G28</f>
        <v>47.59</v>
      </c>
      <c r="E56" s="65">
        <v>3.25</v>
      </c>
      <c r="F56" s="73">
        <f t="shared" si="6"/>
        <v>14.643076923076924</v>
      </c>
      <c r="G56" s="59">
        <f t="shared" si="5"/>
        <v>6.8291657911325909E-2</v>
      </c>
    </row>
    <row r="57" spans="1:7" ht="17.25">
      <c r="A57" s="45" t="str">
        <f>+'S&amp;D'!A29</f>
        <v>One Gas INC</v>
      </c>
      <c r="B57" s="45"/>
      <c r="C57" s="36" t="str">
        <f>+'S&amp;D'!B29</f>
        <v>OGS</v>
      </c>
      <c r="D57" s="63">
        <f>'S&amp;D'!G29</f>
        <v>75.72</v>
      </c>
      <c r="E57" s="65">
        <v>5.6</v>
      </c>
      <c r="F57" s="73">
        <f t="shared" si="6"/>
        <v>13.521428571428572</v>
      </c>
      <c r="G57" s="59">
        <f t="shared" si="5"/>
        <v>7.3956682514527194E-2</v>
      </c>
    </row>
    <row r="58" spans="1:7" ht="17.25">
      <c r="A58" s="45" t="str">
        <f>+'S&amp;D'!A30</f>
        <v>Southwest Gas Holdings, Inc</v>
      </c>
      <c r="B58" s="45"/>
      <c r="C58" s="36" t="str">
        <f>+'S&amp;D'!B30</f>
        <v>SWX</v>
      </c>
      <c r="D58" s="63">
        <f>'S&amp;D'!G30</f>
        <v>61.88</v>
      </c>
      <c r="E58" s="65">
        <v>5.5</v>
      </c>
      <c r="F58" s="73">
        <f t="shared" si="6"/>
        <v>11.250909090909092</v>
      </c>
      <c r="G58" s="59">
        <f t="shared" si="5"/>
        <v>8.8881706528765342E-2</v>
      </c>
    </row>
    <row r="59" spans="1:7" ht="17.25">
      <c r="A59" s="45" t="str">
        <f>+'S&amp;D'!A31</f>
        <v>Spire Inc / Laclede Group Inc</v>
      </c>
      <c r="B59" s="45"/>
      <c r="C59" s="36" t="str">
        <f>+'S&amp;D'!B31</f>
        <v>SR</v>
      </c>
      <c r="D59" s="63">
        <f>'S&amp;D'!G31</f>
        <v>68.86</v>
      </c>
      <c r="E59" s="65">
        <v>5.5</v>
      </c>
      <c r="F59" s="73">
        <f t="shared" si="6"/>
        <v>12.52</v>
      </c>
      <c r="G59" s="59">
        <f t="shared" si="5"/>
        <v>7.9872204472843447E-2</v>
      </c>
    </row>
    <row r="60" spans="1:7" ht="17.25">
      <c r="A60" s="45" t="str">
        <f>+'S&amp;D'!A32</f>
        <v>WEC Energy Group</v>
      </c>
      <c r="B60" s="45"/>
      <c r="C60" s="36" t="str">
        <f>+'S&amp;D'!B32</f>
        <v>WEC</v>
      </c>
      <c r="D60" s="63">
        <f>'S&amp;D'!G32</f>
        <v>93.76</v>
      </c>
      <c r="E60" s="65">
        <v>5.9</v>
      </c>
      <c r="F60" s="73">
        <f t="shared" si="6"/>
        <v>15.891525423728813</v>
      </c>
      <c r="G60" s="59">
        <f t="shared" si="5"/>
        <v>6.2926621160409563E-2</v>
      </c>
    </row>
    <row r="61" spans="1:7" ht="17.25" thickBot="1">
      <c r="A61" s="13"/>
      <c r="B61" s="13"/>
      <c r="C61" s="74"/>
      <c r="D61" s="74"/>
      <c r="E61" s="74"/>
      <c r="F61" s="74"/>
      <c r="G61" s="74"/>
    </row>
    <row r="62" spans="1:7" ht="17.25" thickTop="1">
      <c r="A62" s="13"/>
      <c r="B62" s="13"/>
      <c r="D62" s="15" t="s">
        <v>56</v>
      </c>
      <c r="E62" s="322">
        <v>7.85</v>
      </c>
      <c r="F62" s="322">
        <v>16.89</v>
      </c>
      <c r="G62" s="311">
        <v>8.8900000000000007E-2</v>
      </c>
    </row>
    <row r="63" spans="1:7" ht="16.5">
      <c r="A63" s="13"/>
      <c r="B63" s="13"/>
      <c r="D63" s="15" t="s">
        <v>57</v>
      </c>
      <c r="E63" s="328">
        <v>1.85</v>
      </c>
      <c r="F63" s="328">
        <v>11.25</v>
      </c>
      <c r="G63" s="312">
        <v>5.9200000000000003E-2</v>
      </c>
    </row>
    <row r="64" spans="1:7" ht="16.5">
      <c r="A64" s="13"/>
      <c r="B64" s="13"/>
      <c r="D64" s="15" t="s">
        <v>18</v>
      </c>
      <c r="E64" s="75">
        <f>MEDIAN(E50:E60)</f>
        <v>5.25</v>
      </c>
      <c r="F64" s="22">
        <f>MEDIAN(F50:F60)</f>
        <v>14.276433121019108</v>
      </c>
      <c r="G64" s="59">
        <f>MEDIAN(G50:G60)</f>
        <v>7.0045507272240556E-2</v>
      </c>
    </row>
    <row r="65" spans="1:7" ht="16.5">
      <c r="A65" s="13"/>
      <c r="B65" s="13"/>
      <c r="D65" s="15" t="s">
        <v>474</v>
      </c>
      <c r="E65" s="18">
        <f>AVERAGE(E50:E60)</f>
        <v>4.5454545454545459</v>
      </c>
      <c r="F65" s="22">
        <f>AVERAGE(F50:F60)</f>
        <v>14.185457339260324</v>
      </c>
      <c r="G65" s="76">
        <f>AVERAGE(G50:G60)</f>
        <v>7.142068873657445E-2</v>
      </c>
    </row>
    <row r="66" spans="1:7" ht="16.5">
      <c r="A66" s="13"/>
      <c r="B66" s="13"/>
      <c r="C66" s="13"/>
      <c r="D66" s="13"/>
      <c r="E66" s="13"/>
      <c r="F66" s="13"/>
      <c r="G66" s="13"/>
    </row>
    <row r="67" spans="1:7" ht="26.25">
      <c r="A67" s="13"/>
      <c r="B67" s="13"/>
      <c r="C67" s="13"/>
      <c r="D67" s="13"/>
      <c r="E67" s="80" t="s">
        <v>93</v>
      </c>
      <c r="F67" s="354">
        <v>14.19</v>
      </c>
      <c r="G67" s="355">
        <v>7.1400000000000005E-2</v>
      </c>
    </row>
  </sheetData>
  <pageMargins left="0.25" right="0.25" top="0.75" bottom="0.75" header="0.3" footer="0.3"/>
  <pageSetup scale="3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AA241-0A64-46CC-9E60-C6F323522AA0}">
  <sheetPr>
    <tabColor rgb="FF92D050"/>
  </sheetPr>
  <dimension ref="A1:K115"/>
  <sheetViews>
    <sheetView view="pageBreakPreview" zoomScale="60" zoomScaleNormal="80" workbookViewId="0">
      <selection activeCell="G41" sqref="G41"/>
    </sheetView>
  </sheetViews>
  <sheetFormatPr defaultRowHeight="15"/>
  <cols>
    <col min="1" max="1" width="62.42578125" customWidth="1"/>
    <col min="2" max="2" width="25.7109375" customWidth="1"/>
    <col min="3" max="3" width="30.28515625" customWidth="1"/>
    <col min="4" max="5" width="30.5703125" customWidth="1"/>
    <col min="6" max="6" width="28.140625" customWidth="1"/>
    <col min="7" max="7" width="32.7109375" customWidth="1"/>
    <col min="8" max="8" width="37.7109375" customWidth="1"/>
    <col min="9" max="9" width="116.28515625" customWidth="1"/>
    <col min="10" max="10" width="13.85546875" customWidth="1"/>
    <col min="11" max="12" width="14.140625" bestFit="1" customWidth="1"/>
  </cols>
  <sheetData>
    <row r="1" spans="1:11" ht="26.25">
      <c r="A1" s="25" t="s">
        <v>1</v>
      </c>
      <c r="C1" s="25"/>
      <c r="D1" s="25"/>
      <c r="E1" s="13"/>
      <c r="F1" s="13"/>
      <c r="G1" s="13"/>
      <c r="H1" s="13"/>
      <c r="I1" s="13"/>
      <c r="J1" s="13"/>
      <c r="K1" s="13"/>
    </row>
    <row r="2" spans="1:11" ht="17.25">
      <c r="A2" s="26" t="s">
        <v>9</v>
      </c>
      <c r="C2" s="26"/>
      <c r="D2" s="26"/>
      <c r="E2" s="13"/>
      <c r="F2" s="13"/>
      <c r="G2" s="13"/>
      <c r="H2" s="13"/>
      <c r="I2" s="13"/>
      <c r="J2" s="13"/>
      <c r="K2" s="13"/>
    </row>
    <row r="3" spans="1:11" ht="16.5">
      <c r="A3" s="27" t="s">
        <v>81</v>
      </c>
      <c r="C3" s="27"/>
      <c r="D3" s="27"/>
      <c r="E3" s="13"/>
      <c r="F3" s="13"/>
      <c r="G3" s="13"/>
      <c r="H3" s="13"/>
      <c r="I3" s="13"/>
      <c r="J3" s="13"/>
      <c r="K3" s="13"/>
    </row>
    <row r="4" spans="1:11" ht="16.5">
      <c r="B4" s="27"/>
      <c r="C4" s="27"/>
      <c r="D4" s="27"/>
      <c r="E4" s="13"/>
      <c r="F4" s="13"/>
      <c r="G4" s="13"/>
      <c r="H4" s="13"/>
      <c r="I4" s="13"/>
      <c r="J4" s="13"/>
      <c r="K4" s="13"/>
    </row>
    <row r="5" spans="1:11" ht="16.5">
      <c r="B5" s="13"/>
      <c r="C5" s="13"/>
      <c r="D5" s="13"/>
      <c r="E5" s="13"/>
      <c r="F5" s="13"/>
      <c r="G5" s="13"/>
      <c r="H5" s="13"/>
      <c r="I5" s="28" t="s">
        <v>0</v>
      </c>
      <c r="J5" s="28"/>
      <c r="K5" s="13"/>
    </row>
    <row r="6" spans="1:11" ht="17.25" thickBot="1">
      <c r="B6" s="13"/>
      <c r="C6" s="13"/>
      <c r="D6" s="30"/>
      <c r="E6" s="30"/>
      <c r="F6" s="165"/>
      <c r="H6" s="13"/>
      <c r="I6" s="13"/>
      <c r="J6" s="13"/>
      <c r="K6" s="13"/>
    </row>
    <row r="7" spans="1:11" ht="27" thickBot="1">
      <c r="A7" s="29" t="str">
        <f>+'S&amp;D'!A12</f>
        <v>Natural Gas Utility Distribution</v>
      </c>
      <c r="C7" s="32"/>
      <c r="D7" s="32"/>
      <c r="E7" s="33" t="s">
        <v>280</v>
      </c>
      <c r="H7" s="13"/>
      <c r="I7" s="13"/>
      <c r="J7" s="13"/>
      <c r="K7" s="13"/>
    </row>
    <row r="8" spans="1:11" ht="21" thickBot="1">
      <c r="B8" s="32"/>
      <c r="C8" s="32"/>
      <c r="D8" s="166"/>
      <c r="E8" s="38" t="s">
        <v>95</v>
      </c>
      <c r="F8" s="165"/>
      <c r="H8" s="13"/>
      <c r="I8" s="13"/>
      <c r="J8" s="13"/>
      <c r="K8" s="13"/>
    </row>
    <row r="9" spans="1:11" ht="20.25">
      <c r="B9" s="32"/>
      <c r="C9" s="32"/>
      <c r="D9" s="32"/>
      <c r="E9" s="36"/>
      <c r="H9" s="13"/>
      <c r="I9" s="13"/>
      <c r="J9" s="13"/>
      <c r="K9" s="13"/>
    </row>
    <row r="10" spans="1:11" ht="21" thickBot="1">
      <c r="A10" s="166"/>
      <c r="B10" s="32"/>
      <c r="I10" s="13"/>
      <c r="J10" s="13"/>
      <c r="K10" s="13"/>
    </row>
    <row r="11" spans="1:11" ht="22.5" customHeight="1" thickBot="1">
      <c r="A11" s="179" t="s">
        <v>274</v>
      </c>
      <c r="B11" s="32"/>
      <c r="I11" s="13"/>
      <c r="J11" s="13"/>
      <c r="K11" s="13"/>
    </row>
    <row r="12" spans="1:11" ht="26.25" customHeight="1" thickBot="1">
      <c r="A12" s="178" t="s">
        <v>0</v>
      </c>
      <c r="B12" s="13"/>
      <c r="C12" s="13"/>
      <c r="D12" s="13"/>
      <c r="E12" s="13"/>
      <c r="F12" s="13"/>
      <c r="G12" s="13"/>
      <c r="H12" s="13"/>
      <c r="I12" s="13"/>
      <c r="J12" s="13"/>
      <c r="K12" s="13"/>
    </row>
    <row r="13" spans="1:11" ht="66.75" customHeight="1" thickBot="1">
      <c r="A13" s="242" t="s">
        <v>300</v>
      </c>
      <c r="B13" s="172" t="s">
        <v>345</v>
      </c>
      <c r="C13" s="172" t="s">
        <v>310</v>
      </c>
      <c r="D13" s="172" t="s">
        <v>309</v>
      </c>
      <c r="I13" s="13"/>
      <c r="J13" s="13"/>
      <c r="K13" s="13"/>
    </row>
    <row r="14" spans="1:11" ht="16.5">
      <c r="A14" s="167"/>
      <c r="B14" s="230"/>
      <c r="C14" s="230"/>
      <c r="D14" s="230"/>
      <c r="I14" s="13"/>
      <c r="J14" s="13"/>
      <c r="K14" s="13"/>
    </row>
    <row r="15" spans="1:11" ht="20.25">
      <c r="A15" s="176" t="str">
        <f>+A7</f>
        <v>Natural Gas Utility Distribution</v>
      </c>
      <c r="B15" s="253">
        <v>0.06</v>
      </c>
      <c r="C15" s="253">
        <f>+'Dividends '!K30</f>
        <v>6.6053667551115677E-2</v>
      </c>
      <c r="D15" s="253">
        <f>+Earnings!K30</f>
        <v>8.6504159591212298E-2</v>
      </c>
      <c r="I15" s="13"/>
      <c r="J15" s="13"/>
      <c r="K15" s="13"/>
    </row>
    <row r="16" spans="1:11" ht="21" thickBot="1">
      <c r="A16" s="169" t="s">
        <v>0</v>
      </c>
      <c r="B16" s="231" t="s">
        <v>0</v>
      </c>
      <c r="C16" s="279">
        <f>+'Dividends '!K31</f>
        <v>6.0262941050511547E-2</v>
      </c>
      <c r="D16" s="279">
        <f>+Earnings!K31</f>
        <v>8.3859564691127653E-2</v>
      </c>
      <c r="I16" s="13"/>
      <c r="J16" s="13"/>
      <c r="K16" s="13"/>
    </row>
    <row r="17" spans="1:11" ht="20.25">
      <c r="A17" s="240"/>
      <c r="B17" s="241"/>
      <c r="I17" s="13"/>
      <c r="J17" s="13"/>
      <c r="K17" s="13"/>
    </row>
    <row r="18" spans="1:11" ht="16.5">
      <c r="A18" s="13"/>
      <c r="B18" s="13"/>
      <c r="C18" s="13"/>
      <c r="D18" s="13"/>
      <c r="E18" s="13"/>
      <c r="F18" s="13"/>
      <c r="G18" s="13"/>
      <c r="H18" s="13"/>
      <c r="I18" s="13"/>
      <c r="J18" s="13"/>
      <c r="K18" s="13"/>
    </row>
    <row r="19" spans="1:11" ht="17.25" thickBot="1">
      <c r="A19" s="13"/>
      <c r="B19" s="13"/>
      <c r="C19" s="13"/>
      <c r="D19" s="13"/>
      <c r="E19" s="13"/>
      <c r="F19" s="13"/>
      <c r="G19" s="13"/>
      <c r="H19" s="13"/>
      <c r="I19" s="13"/>
      <c r="J19" s="13"/>
      <c r="K19" s="13"/>
    </row>
    <row r="20" spans="1:11" ht="21" thickBot="1">
      <c r="A20" s="179" t="s">
        <v>299</v>
      </c>
      <c r="B20" s="32"/>
      <c r="I20" s="13"/>
      <c r="J20" s="13"/>
      <c r="K20" s="13"/>
    </row>
    <row r="21" spans="1:11" ht="18" thickBot="1">
      <c r="A21" s="178" t="s">
        <v>0</v>
      </c>
      <c r="B21" s="13"/>
      <c r="C21" s="13"/>
      <c r="D21" s="13"/>
      <c r="E21" s="13"/>
      <c r="F21" s="13"/>
      <c r="G21" s="13"/>
      <c r="H21" s="13"/>
      <c r="I21" s="13"/>
      <c r="J21" s="13"/>
      <c r="K21" s="13"/>
    </row>
    <row r="22" spans="1:11" ht="64.5" customHeight="1" thickBot="1">
      <c r="A22" s="242" t="s">
        <v>301</v>
      </c>
      <c r="B22" s="172" t="s">
        <v>344</v>
      </c>
      <c r="C22" s="171" t="s">
        <v>253</v>
      </c>
      <c r="D22" s="172" t="s">
        <v>254</v>
      </c>
      <c r="E22" s="172" t="s">
        <v>255</v>
      </c>
      <c r="F22" s="172" t="s">
        <v>345</v>
      </c>
      <c r="G22" s="280" t="s">
        <v>18</v>
      </c>
      <c r="H22" s="280" t="s">
        <v>19</v>
      </c>
      <c r="I22" s="13"/>
      <c r="J22" s="13"/>
      <c r="K22" s="13"/>
    </row>
    <row r="23" spans="1:11" ht="16.5">
      <c r="A23" s="167"/>
      <c r="B23" s="230"/>
      <c r="C23" s="120"/>
      <c r="D23" s="230"/>
      <c r="E23" s="120"/>
      <c r="F23" s="230"/>
      <c r="G23" s="333"/>
      <c r="H23" s="181"/>
      <c r="I23" s="13"/>
      <c r="J23" s="13"/>
      <c r="K23" s="13"/>
    </row>
    <row r="24" spans="1:11" ht="20.25">
      <c r="A24" s="176" t="str">
        <f>+A7</f>
        <v>Natural Gas Utility Distribution</v>
      </c>
      <c r="B24" s="253">
        <v>0.06</v>
      </c>
      <c r="C24" s="331">
        <v>0.06</v>
      </c>
      <c r="D24" s="253">
        <v>0.06</v>
      </c>
      <c r="E24" s="331">
        <v>5.91E-2</v>
      </c>
      <c r="F24" s="253">
        <v>0.06</v>
      </c>
      <c r="G24" s="334">
        <f>MEDIAN(B24:F24)</f>
        <v>0.06</v>
      </c>
      <c r="H24" s="275">
        <f>AVERAGE(B24:F24)</f>
        <v>5.9819999999999998E-2</v>
      </c>
      <c r="I24" s="13"/>
      <c r="J24" s="13"/>
      <c r="K24" s="13"/>
    </row>
    <row r="25" spans="1:11" ht="21" thickBot="1">
      <c r="A25" s="169" t="s">
        <v>0</v>
      </c>
      <c r="B25" s="231" t="s">
        <v>0</v>
      </c>
      <c r="C25" s="177" t="s">
        <v>0</v>
      </c>
      <c r="D25" s="231" t="s">
        <v>0</v>
      </c>
      <c r="E25" s="177" t="s">
        <v>0</v>
      </c>
      <c r="F25" s="231" t="s">
        <v>0</v>
      </c>
      <c r="G25" s="335"/>
      <c r="H25" s="180"/>
      <c r="I25" s="13"/>
      <c r="J25" s="13"/>
      <c r="K25" s="13"/>
    </row>
    <row r="26" spans="1:11" ht="16.5">
      <c r="A26" s="13"/>
      <c r="B26" s="13"/>
      <c r="C26" s="13"/>
      <c r="D26" s="13"/>
      <c r="E26" s="13"/>
      <c r="F26" s="13"/>
      <c r="G26" s="13"/>
      <c r="H26" s="13"/>
      <c r="I26" s="13"/>
      <c r="J26" s="13"/>
      <c r="K26" s="13"/>
    </row>
    <row r="27" spans="1:11" ht="16.5">
      <c r="A27" s="13"/>
      <c r="B27" s="13"/>
      <c r="C27" s="13"/>
      <c r="D27" s="13"/>
      <c r="E27" s="13"/>
      <c r="F27" s="13"/>
      <c r="G27" s="13"/>
      <c r="H27" s="13"/>
      <c r="I27" s="13"/>
      <c r="J27" s="13"/>
      <c r="K27" s="13"/>
    </row>
    <row r="28" spans="1:11" ht="16.5">
      <c r="A28" s="13"/>
      <c r="B28" s="13" t="s">
        <v>0</v>
      </c>
      <c r="C28" s="13"/>
      <c r="D28" s="13"/>
      <c r="E28" s="13"/>
      <c r="F28" s="13"/>
      <c r="G28" s="13"/>
      <c r="H28" s="13"/>
      <c r="I28" s="13"/>
      <c r="J28" s="13"/>
      <c r="K28" s="13"/>
    </row>
    <row r="29" spans="1:11" ht="17.25" thickBot="1">
      <c r="A29" s="13"/>
      <c r="B29" s="13"/>
      <c r="C29" s="13"/>
      <c r="D29" s="13"/>
      <c r="E29" s="13"/>
      <c r="F29" s="13"/>
      <c r="G29" s="13"/>
      <c r="H29" s="13"/>
      <c r="I29" s="13"/>
      <c r="J29" s="13"/>
      <c r="K29" s="13"/>
    </row>
    <row r="30" spans="1:11" ht="21" thickBot="1">
      <c r="A30" s="179" t="s">
        <v>276</v>
      </c>
      <c r="B30" s="13"/>
      <c r="C30" s="13"/>
      <c r="D30" s="13"/>
      <c r="E30" s="13"/>
      <c r="F30" s="13"/>
      <c r="G30" s="13"/>
      <c r="H30" s="13"/>
      <c r="I30" s="13"/>
      <c r="J30" s="13"/>
      <c r="K30" s="13"/>
    </row>
    <row r="31" spans="1:11" ht="16.5">
      <c r="A31" s="13"/>
      <c r="B31" s="13"/>
      <c r="C31" s="13"/>
      <c r="D31" s="13"/>
      <c r="E31" s="13"/>
      <c r="F31" s="13"/>
      <c r="G31" s="13"/>
      <c r="H31" s="13"/>
      <c r="I31" s="13"/>
      <c r="J31" s="13"/>
      <c r="K31" s="13"/>
    </row>
    <row r="32" spans="1:11" ht="16.5">
      <c r="A32" s="13"/>
      <c r="B32" s="13"/>
      <c r="C32" s="13"/>
      <c r="D32" s="13"/>
      <c r="E32" s="13"/>
      <c r="F32" s="13"/>
      <c r="G32" s="13"/>
      <c r="H32" s="13"/>
      <c r="I32" s="13"/>
      <c r="J32" s="13"/>
      <c r="K32" s="13"/>
    </row>
    <row r="33" spans="1:11" ht="26.25">
      <c r="A33" s="339">
        <v>1.66E-2</v>
      </c>
      <c r="B33" s="32" t="s">
        <v>516</v>
      </c>
      <c r="C33" s="13"/>
      <c r="E33" s="218" t="s">
        <v>0</v>
      </c>
      <c r="F33" s="13"/>
      <c r="G33" s="13"/>
      <c r="H33" s="13"/>
      <c r="I33" s="13"/>
      <c r="J33" s="13"/>
      <c r="K33" s="13"/>
    </row>
    <row r="34" spans="1:11" ht="26.25">
      <c r="A34" s="233"/>
      <c r="B34" s="13" t="s">
        <v>325</v>
      </c>
      <c r="C34" s="13"/>
      <c r="D34" s="13"/>
      <c r="E34" s="13"/>
      <c r="F34" s="13"/>
      <c r="G34" s="13"/>
      <c r="H34" s="13"/>
      <c r="I34" s="13"/>
      <c r="J34" s="13"/>
      <c r="K34" s="13"/>
    </row>
    <row r="35" spans="1:11" ht="26.25">
      <c r="A35" s="233"/>
      <c r="B35" s="162" t="s">
        <v>324</v>
      </c>
      <c r="C35" s="13"/>
      <c r="D35" s="13"/>
      <c r="E35" s="13"/>
      <c r="F35" s="13"/>
      <c r="G35" s="13"/>
      <c r="H35" s="13"/>
      <c r="I35" s="13"/>
      <c r="J35" s="13"/>
      <c r="K35" s="13"/>
    </row>
    <row r="36" spans="1:11" ht="26.25">
      <c r="A36" s="339">
        <v>1.7999999999999999E-2</v>
      </c>
      <c r="B36" s="32" t="s">
        <v>277</v>
      </c>
      <c r="C36" s="13"/>
      <c r="D36" s="13"/>
      <c r="E36" s="13"/>
      <c r="F36" s="13"/>
      <c r="G36" s="13"/>
      <c r="H36" s="13"/>
      <c r="I36" s="13"/>
      <c r="J36" s="13"/>
      <c r="K36" s="13"/>
    </row>
    <row r="37" spans="1:11" ht="26.25">
      <c r="A37" s="232"/>
      <c r="B37" s="234" t="s">
        <v>517</v>
      </c>
      <c r="C37" s="13"/>
      <c r="D37" s="13"/>
      <c r="E37" s="13"/>
      <c r="F37" s="13"/>
      <c r="G37" s="13"/>
      <c r="H37" s="13"/>
      <c r="I37" s="13"/>
      <c r="J37" s="13"/>
      <c r="K37" s="13"/>
    </row>
    <row r="38" spans="1:11" ht="26.25">
      <c r="A38" s="232"/>
      <c r="B38" s="162" t="s">
        <v>518</v>
      </c>
      <c r="C38" s="13"/>
      <c r="D38" s="13"/>
      <c r="E38" s="13"/>
      <c r="F38" s="13"/>
      <c r="G38" s="13"/>
      <c r="H38" s="13"/>
      <c r="I38" s="13"/>
      <c r="J38" s="13"/>
      <c r="K38" s="13"/>
    </row>
    <row r="39" spans="1:11" ht="26.25">
      <c r="A39" s="339" t="s">
        <v>426</v>
      </c>
      <c r="B39" s="32" t="s">
        <v>278</v>
      </c>
      <c r="C39" s="13"/>
      <c r="D39" s="13"/>
      <c r="E39" s="13"/>
      <c r="F39" s="13"/>
      <c r="G39" s="13"/>
      <c r="H39" s="13"/>
      <c r="I39" s="13"/>
      <c r="J39" s="13"/>
      <c r="K39" s="13"/>
    </row>
    <row r="40" spans="1:11" ht="26.25">
      <c r="A40" s="232"/>
      <c r="B40" s="13" t="s">
        <v>519</v>
      </c>
      <c r="C40" s="13"/>
      <c r="D40" s="13"/>
      <c r="E40" s="13"/>
      <c r="F40" s="13"/>
      <c r="G40" s="13"/>
      <c r="H40" s="13"/>
      <c r="I40" s="13"/>
      <c r="J40" s="13"/>
      <c r="K40" s="13"/>
    </row>
    <row r="41" spans="1:11" ht="26.25">
      <c r="A41" s="232"/>
      <c r="B41" s="162" t="s">
        <v>343</v>
      </c>
      <c r="C41" s="13"/>
      <c r="D41" s="13"/>
      <c r="E41" s="13"/>
      <c r="F41" s="13"/>
      <c r="G41" s="13"/>
      <c r="H41" s="13"/>
      <c r="I41" s="13"/>
      <c r="J41" s="13"/>
      <c r="K41" s="13"/>
    </row>
    <row r="42" spans="1:11" ht="26.25">
      <c r="A42" s="446">
        <v>1.9E-2</v>
      </c>
      <c r="B42" s="32" t="s">
        <v>520</v>
      </c>
      <c r="C42" s="13"/>
      <c r="D42" s="13"/>
      <c r="E42" s="13"/>
      <c r="F42" s="13"/>
      <c r="G42" s="13"/>
      <c r="H42" s="13"/>
      <c r="I42" s="13"/>
      <c r="J42" s="13"/>
      <c r="K42" s="13"/>
    </row>
    <row r="43" spans="1:11" ht="26.25">
      <c r="A43" s="232"/>
      <c r="B43" s="13" t="s">
        <v>521</v>
      </c>
      <c r="C43" s="13"/>
      <c r="D43" s="13"/>
      <c r="E43" s="13"/>
      <c r="F43" s="13"/>
      <c r="G43" s="13"/>
      <c r="H43" s="13"/>
      <c r="I43" s="13"/>
      <c r="J43" s="13"/>
      <c r="K43" s="13"/>
    </row>
    <row r="44" spans="1:11" ht="26.25">
      <c r="A44" s="232"/>
      <c r="B44" s="162" t="s">
        <v>342</v>
      </c>
      <c r="C44" s="13"/>
      <c r="D44" s="13"/>
      <c r="E44" s="13"/>
      <c r="F44" s="13"/>
      <c r="G44" s="13"/>
      <c r="H44" s="13"/>
      <c r="I44" s="13"/>
      <c r="J44" s="13"/>
      <c r="K44" s="13"/>
    </row>
    <row r="45" spans="1:11" ht="26.25">
      <c r="A45" s="339">
        <v>1.4999999999999999E-2</v>
      </c>
      <c r="B45" s="32" t="s">
        <v>279</v>
      </c>
      <c r="C45" s="13"/>
      <c r="D45" s="13"/>
      <c r="E45" s="13"/>
      <c r="F45" s="13"/>
      <c r="G45" s="13"/>
      <c r="H45" s="13"/>
      <c r="I45" s="13"/>
      <c r="J45" s="13"/>
      <c r="K45" s="13"/>
    </row>
    <row r="46" spans="1:11" ht="26.25">
      <c r="A46" s="232"/>
      <c r="B46" s="13" t="s">
        <v>522</v>
      </c>
      <c r="C46" s="13"/>
      <c r="D46" s="13"/>
      <c r="E46" s="13"/>
      <c r="F46" s="13"/>
      <c r="G46" s="13"/>
      <c r="H46" s="13"/>
      <c r="I46" s="13"/>
      <c r="J46" s="13"/>
      <c r="K46" s="13"/>
    </row>
    <row r="47" spans="1:11" ht="26.25">
      <c r="A47" s="232"/>
      <c r="B47" s="162" t="s">
        <v>523</v>
      </c>
      <c r="C47" s="13"/>
      <c r="D47" s="13"/>
      <c r="E47" s="13"/>
      <c r="F47" s="13"/>
      <c r="G47" s="13"/>
      <c r="H47" s="13"/>
      <c r="I47" s="13"/>
      <c r="J47" s="13"/>
      <c r="K47" s="13"/>
    </row>
    <row r="48" spans="1:11" ht="26.25">
      <c r="A48" s="232" t="s">
        <v>0</v>
      </c>
      <c r="C48" s="13"/>
      <c r="D48" s="13"/>
      <c r="E48" s="13"/>
      <c r="F48" s="13"/>
      <c r="G48" s="13"/>
      <c r="H48" s="13"/>
      <c r="I48" s="13"/>
      <c r="J48" s="13"/>
      <c r="K48" s="13"/>
    </row>
    <row r="49" spans="1:11" ht="20.25">
      <c r="A49" s="336" t="s">
        <v>293</v>
      </c>
      <c r="C49" s="13"/>
      <c r="D49" s="13"/>
      <c r="E49" s="13"/>
      <c r="F49" s="13"/>
      <c r="G49" s="13"/>
      <c r="H49" s="13"/>
      <c r="I49" s="13"/>
      <c r="J49" s="13"/>
      <c r="K49" s="13"/>
    </row>
    <row r="50" spans="1:11" ht="20.25">
      <c r="A50" s="32" t="s">
        <v>294</v>
      </c>
      <c r="B50" s="13"/>
      <c r="C50" s="13"/>
      <c r="D50" s="13"/>
      <c r="E50" s="13"/>
      <c r="H50" s="13"/>
      <c r="I50" s="13"/>
      <c r="J50" s="13"/>
      <c r="K50" s="13"/>
    </row>
    <row r="51" spans="1:11" ht="16.5">
      <c r="A51" s="162" t="s">
        <v>295</v>
      </c>
      <c r="B51" s="13"/>
      <c r="C51" s="13"/>
      <c r="D51" s="13"/>
      <c r="E51" s="13"/>
      <c r="F51" s="13"/>
      <c r="G51" s="13"/>
      <c r="H51" s="13"/>
      <c r="I51" s="13"/>
      <c r="J51" s="13"/>
      <c r="K51" s="13"/>
    </row>
    <row r="52" spans="1:11" ht="16.5">
      <c r="A52" s="162"/>
      <c r="B52" s="13"/>
      <c r="C52" s="13"/>
      <c r="D52" s="13"/>
      <c r="E52" s="13"/>
      <c r="F52" s="13"/>
      <c r="G52" s="13" t="s">
        <v>0</v>
      </c>
      <c r="H52" s="13" t="s">
        <v>0</v>
      </c>
      <c r="I52" s="13"/>
      <c r="J52" s="13"/>
      <c r="K52" s="13"/>
    </row>
    <row r="53" spans="1:11" ht="16.5">
      <c r="A53" s="13"/>
      <c r="B53" s="13"/>
      <c r="C53" s="13"/>
      <c r="D53" s="13"/>
      <c r="E53" s="13"/>
      <c r="F53" s="13"/>
      <c r="G53" s="13" t="s">
        <v>0</v>
      </c>
      <c r="H53" s="13"/>
      <c r="I53" s="13"/>
      <c r="J53" s="13"/>
      <c r="K53" s="13"/>
    </row>
    <row r="54" spans="1:11" ht="17.25" thickBot="1">
      <c r="A54" s="13"/>
      <c r="B54" s="13"/>
      <c r="C54" s="13"/>
      <c r="D54" s="13"/>
      <c r="E54" s="13"/>
      <c r="F54" s="13"/>
      <c r="G54" s="13" t="s">
        <v>0</v>
      </c>
      <c r="H54" s="13"/>
      <c r="I54" s="13"/>
      <c r="J54" s="13"/>
      <c r="K54" s="13"/>
    </row>
    <row r="55" spans="1:11" ht="18.75" customHeight="1" thickBot="1">
      <c r="A55" s="179" t="s">
        <v>275</v>
      </c>
      <c r="B55" s="45" t="s">
        <v>411</v>
      </c>
      <c r="C55" s="13"/>
      <c r="D55" s="13"/>
      <c r="E55" s="13"/>
      <c r="F55" s="13"/>
      <c r="G55" s="13"/>
      <c r="H55" s="13"/>
      <c r="I55" s="13"/>
      <c r="J55" s="13"/>
      <c r="K55" s="13"/>
    </row>
    <row r="56" spans="1:11" ht="15" customHeight="1">
      <c r="A56" s="13"/>
      <c r="B56" s="13"/>
      <c r="C56" s="13"/>
      <c r="D56" s="13"/>
      <c r="E56" s="13"/>
      <c r="F56" s="13"/>
      <c r="G56" s="337" t="s">
        <v>412</v>
      </c>
      <c r="H56" s="338" t="s">
        <v>413</v>
      </c>
      <c r="I56" s="13"/>
      <c r="J56" s="13"/>
      <c r="K56" s="13"/>
    </row>
    <row r="57" spans="1:11" ht="23.25" customHeight="1">
      <c r="A57" s="339">
        <v>2.3E-2</v>
      </c>
      <c r="B57" s="32" t="s">
        <v>414</v>
      </c>
      <c r="C57" s="13"/>
      <c r="E57" s="13"/>
      <c r="G57" s="340" t="s">
        <v>415</v>
      </c>
      <c r="H57" s="341" t="s">
        <v>416</v>
      </c>
      <c r="I57" s="13"/>
      <c r="J57" s="13"/>
      <c r="K57" s="13"/>
    </row>
    <row r="58" spans="1:11" ht="23.25" customHeight="1">
      <c r="A58" s="339">
        <v>2.53E-2</v>
      </c>
      <c r="B58" s="32" t="s">
        <v>417</v>
      </c>
      <c r="C58" s="13"/>
      <c r="E58" s="13"/>
      <c r="G58" s="340" t="s">
        <v>418</v>
      </c>
      <c r="H58" s="341" t="s">
        <v>419</v>
      </c>
      <c r="I58" s="13"/>
      <c r="J58" s="13"/>
      <c r="K58" s="13"/>
    </row>
    <row r="59" spans="1:11" ht="23.25" customHeight="1">
      <c r="A59" s="339">
        <v>2.3099999999999999E-2</v>
      </c>
      <c r="B59" s="32" t="s">
        <v>420</v>
      </c>
      <c r="C59" s="13"/>
      <c r="D59" s="13"/>
      <c r="E59" s="13"/>
      <c r="G59" s="342" t="s">
        <v>421</v>
      </c>
      <c r="H59" s="343" t="s">
        <v>422</v>
      </c>
      <c r="I59" s="13"/>
      <c r="J59" s="13"/>
      <c r="K59" s="13"/>
    </row>
    <row r="60" spans="1:11" ht="23.25" customHeight="1">
      <c r="A60" s="339"/>
      <c r="B60" s="32"/>
      <c r="C60" s="13"/>
      <c r="D60" s="13"/>
      <c r="E60" s="13"/>
      <c r="G60" s="15"/>
      <c r="H60" s="163"/>
      <c r="I60" s="13"/>
      <c r="J60" s="13"/>
      <c r="K60" s="13"/>
    </row>
    <row r="61" spans="1:11" ht="23.25" customHeight="1">
      <c r="A61" s="344" t="s">
        <v>524</v>
      </c>
      <c r="B61" s="32"/>
      <c r="C61" s="13"/>
      <c r="D61" s="13"/>
      <c r="E61" s="13"/>
      <c r="F61" s="332"/>
      <c r="G61" s="89"/>
      <c r="H61" s="13"/>
      <c r="I61" s="13"/>
      <c r="J61" s="13"/>
      <c r="K61" s="13"/>
    </row>
    <row r="62" spans="1:11" ht="23.25" customHeight="1">
      <c r="A62" s="339"/>
      <c r="B62" s="32"/>
      <c r="C62" s="13"/>
      <c r="D62" s="13"/>
      <c r="E62" s="13"/>
      <c r="F62" s="332"/>
      <c r="G62" s="89"/>
      <c r="H62" s="13"/>
      <c r="I62" s="13"/>
      <c r="J62" s="13"/>
      <c r="K62" s="13"/>
    </row>
    <row r="63" spans="1:11" ht="23.25" customHeight="1">
      <c r="A63" s="339">
        <v>2.5499999999999998E-2</v>
      </c>
      <c r="B63" s="32" t="s">
        <v>285</v>
      </c>
      <c r="C63" s="13"/>
      <c r="D63" s="13"/>
      <c r="E63" s="13"/>
      <c r="F63" s="13"/>
      <c r="G63" s="13"/>
      <c r="H63" s="13"/>
      <c r="I63" s="13"/>
      <c r="J63" s="13"/>
      <c r="K63" s="13"/>
    </row>
    <row r="64" spans="1:11" ht="23.25" customHeight="1">
      <c r="A64" s="339">
        <v>2.5000000000000001E-2</v>
      </c>
      <c r="B64" s="32" t="s">
        <v>286</v>
      </c>
      <c r="C64" s="13"/>
      <c r="D64" s="13"/>
      <c r="E64" s="13"/>
      <c r="F64" s="13"/>
      <c r="G64" s="13"/>
      <c r="H64" s="13"/>
      <c r="I64" s="13"/>
      <c r="J64" s="13"/>
      <c r="K64" s="13"/>
    </row>
    <row r="65" spans="1:11" ht="23.25" customHeight="1">
      <c r="A65" s="339">
        <v>2.4400000000000002E-2</v>
      </c>
      <c r="B65" s="32" t="s">
        <v>287</v>
      </c>
      <c r="C65" s="13"/>
      <c r="D65" s="13"/>
      <c r="E65" s="13"/>
      <c r="F65" s="13"/>
      <c r="G65" s="13"/>
      <c r="H65" s="13"/>
      <c r="I65" s="13"/>
      <c r="J65" s="13"/>
      <c r="K65" s="13"/>
    </row>
    <row r="66" spans="1:11" ht="24" customHeight="1">
      <c r="A66" s="339">
        <v>2.3E-2</v>
      </c>
      <c r="B66" s="32" t="s">
        <v>525</v>
      </c>
      <c r="C66" s="13"/>
      <c r="D66" s="13"/>
      <c r="E66" s="13"/>
      <c r="F66" s="13"/>
      <c r="G66" s="13"/>
      <c r="H66" s="13"/>
      <c r="I66" s="13"/>
      <c r="J66" s="13"/>
      <c r="K66" s="13"/>
    </row>
    <row r="67" spans="1:11" ht="24" customHeight="1">
      <c r="A67" s="339">
        <v>0.02</v>
      </c>
      <c r="B67" s="32" t="s">
        <v>282</v>
      </c>
      <c r="C67" s="13"/>
      <c r="D67" s="13"/>
      <c r="E67" s="13"/>
      <c r="F67" s="13"/>
      <c r="G67" s="13"/>
      <c r="H67" s="13"/>
      <c r="I67" s="13"/>
      <c r="J67" s="13"/>
      <c r="K67" s="13"/>
    </row>
    <row r="68" spans="1:11" ht="27" customHeight="1">
      <c r="B68" s="13" t="s">
        <v>0</v>
      </c>
      <c r="C68" s="13"/>
      <c r="D68" s="13"/>
      <c r="E68" s="13"/>
      <c r="F68" s="13"/>
      <c r="G68" s="13"/>
      <c r="H68" s="13"/>
      <c r="I68" s="13"/>
      <c r="J68" s="13"/>
      <c r="K68" s="13"/>
    </row>
    <row r="69" spans="1:11" ht="20.25" customHeight="1">
      <c r="A69" s="13"/>
      <c r="B69" s="13"/>
      <c r="C69" s="13"/>
      <c r="D69" s="13"/>
      <c r="E69" s="13"/>
      <c r="F69" s="13"/>
      <c r="G69" s="13"/>
      <c r="H69" s="13"/>
      <c r="I69" s="13"/>
      <c r="J69" s="13"/>
      <c r="K69" s="13"/>
    </row>
    <row r="70" spans="1:11" ht="18.75" customHeight="1" thickBot="1">
      <c r="B70" s="13"/>
      <c r="C70" s="13"/>
      <c r="D70" s="30"/>
      <c r="E70" s="30"/>
      <c r="F70" s="30"/>
      <c r="G70" s="13"/>
      <c r="H70" s="13"/>
      <c r="I70" s="13"/>
      <c r="J70" s="13"/>
      <c r="K70" s="13"/>
    </row>
    <row r="71" spans="1:11" ht="18.75" customHeight="1">
      <c r="B71" s="32"/>
      <c r="C71" s="32"/>
      <c r="D71" s="13"/>
      <c r="E71" s="33" t="s">
        <v>236</v>
      </c>
      <c r="F71" s="13"/>
      <c r="G71" s="13"/>
      <c r="H71" s="13"/>
      <c r="I71" s="13"/>
      <c r="J71" s="13"/>
      <c r="K71" s="13"/>
    </row>
    <row r="72" spans="1:11" ht="15" customHeight="1" thickBot="1">
      <c r="A72" s="165"/>
      <c r="B72" s="32"/>
      <c r="C72" s="32"/>
      <c r="D72" s="30"/>
      <c r="E72" s="38" t="s">
        <v>95</v>
      </c>
      <c r="F72" s="30"/>
      <c r="G72" s="13"/>
      <c r="H72" s="13"/>
      <c r="I72" s="13"/>
      <c r="J72" s="13"/>
      <c r="K72" s="13"/>
    </row>
    <row r="73" spans="1:11" ht="21" customHeight="1" thickBot="1">
      <c r="A73" s="164" t="s">
        <v>237</v>
      </c>
      <c r="B73" s="32"/>
      <c r="C73" s="32"/>
      <c r="D73" s="36"/>
      <c r="E73" s="161"/>
      <c r="F73" s="13"/>
      <c r="G73" s="13"/>
      <c r="H73" s="13"/>
      <c r="I73" s="13"/>
      <c r="J73" s="13"/>
      <c r="K73" s="13"/>
    </row>
    <row r="74" spans="1:11" ht="15" customHeight="1">
      <c r="A74" s="40" t="s">
        <v>0</v>
      </c>
      <c r="B74" s="40"/>
      <c r="C74" s="40"/>
      <c r="D74" s="42" t="s">
        <v>0</v>
      </c>
      <c r="E74" s="42" t="s">
        <v>0</v>
      </c>
      <c r="F74" s="42" t="s">
        <v>0</v>
      </c>
      <c r="G74" s="42"/>
      <c r="H74" s="13"/>
      <c r="I74" s="13"/>
    </row>
    <row r="75" spans="1:11" ht="16.5">
      <c r="A75" s="36" t="s">
        <v>0</v>
      </c>
      <c r="B75" s="36"/>
      <c r="C75" s="36"/>
      <c r="D75" s="196" t="s">
        <v>99</v>
      </c>
      <c r="E75" s="196" t="s">
        <v>281</v>
      </c>
      <c r="F75" s="196" t="s">
        <v>148</v>
      </c>
      <c r="G75" s="276"/>
      <c r="H75" s="13"/>
      <c r="I75" s="13"/>
    </row>
    <row r="76" spans="1:11" ht="16.5">
      <c r="A76" s="136" t="s">
        <v>146</v>
      </c>
      <c r="B76" s="136"/>
      <c r="C76" s="136"/>
      <c r="D76" s="197" t="s">
        <v>101</v>
      </c>
      <c r="E76" s="197" t="s">
        <v>147</v>
      </c>
      <c r="F76" s="197" t="s">
        <v>149</v>
      </c>
      <c r="G76" s="276"/>
      <c r="H76" s="13"/>
      <c r="I76" s="13"/>
    </row>
    <row r="77" spans="1:11" ht="15.75" customHeight="1"/>
    <row r="78" spans="1:11" ht="15.75" customHeight="1"/>
    <row r="79" spans="1:11" ht="15.75" customHeight="1">
      <c r="A79" s="182" t="s">
        <v>288</v>
      </c>
      <c r="B79" s="183"/>
      <c r="C79" s="227"/>
      <c r="D79" s="191">
        <f>+A57</f>
        <v>2.3E-2</v>
      </c>
      <c r="E79" s="191">
        <v>1.5800000000000002E-2</v>
      </c>
      <c r="F79" s="184">
        <f t="shared" ref="F79:F86" si="0">+D79+E79</f>
        <v>3.8800000000000001E-2</v>
      </c>
      <c r="G79" s="277"/>
      <c r="H79" s="13"/>
      <c r="I79" s="13"/>
    </row>
    <row r="80" spans="1:11" ht="15.75" customHeight="1">
      <c r="A80" s="185" t="s">
        <v>289</v>
      </c>
      <c r="B80" s="66"/>
      <c r="C80" s="228"/>
      <c r="D80" s="345">
        <f>+A58</f>
        <v>2.53E-2</v>
      </c>
      <c r="E80" s="345">
        <v>1.61E-2</v>
      </c>
      <c r="F80" s="186">
        <f t="shared" si="0"/>
        <v>4.1399999999999999E-2</v>
      </c>
      <c r="G80" s="277"/>
      <c r="H80" s="13"/>
      <c r="I80" s="13"/>
    </row>
    <row r="81" spans="1:9" ht="15.75" customHeight="1">
      <c r="A81" s="187" t="s">
        <v>290</v>
      </c>
      <c r="B81" s="188"/>
      <c r="C81" s="229"/>
      <c r="D81" s="192">
        <f>+A59</f>
        <v>2.3099999999999999E-2</v>
      </c>
      <c r="E81" s="192">
        <v>1.66E-2</v>
      </c>
      <c r="F81" s="189">
        <f t="shared" si="0"/>
        <v>3.9699999999999999E-2</v>
      </c>
      <c r="G81" s="277"/>
      <c r="H81" s="13"/>
      <c r="I81" s="13"/>
    </row>
    <row r="82" spans="1:9" ht="15.75" customHeight="1">
      <c r="A82" s="185" t="s">
        <v>291</v>
      </c>
      <c r="B82" s="66"/>
      <c r="C82" s="228"/>
      <c r="D82" s="345">
        <f t="shared" ref="D82:D84" si="1">+A63</f>
        <v>2.5499999999999998E-2</v>
      </c>
      <c r="E82" s="345">
        <v>1.9699999999999999E-2</v>
      </c>
      <c r="F82" s="186">
        <f t="shared" si="0"/>
        <v>4.5199999999999997E-2</v>
      </c>
      <c r="G82" s="277"/>
      <c r="H82" s="13"/>
      <c r="I82" s="13"/>
    </row>
    <row r="83" spans="1:9" ht="15.75" customHeight="1">
      <c r="A83" s="185" t="s">
        <v>292</v>
      </c>
      <c r="B83" s="66"/>
      <c r="C83" s="228"/>
      <c r="D83" s="345">
        <f t="shared" si="1"/>
        <v>2.5000000000000001E-2</v>
      </c>
      <c r="E83" s="345">
        <v>1.9300000000000001E-2</v>
      </c>
      <c r="F83" s="186">
        <f t="shared" si="0"/>
        <v>4.4300000000000006E-2</v>
      </c>
      <c r="G83" s="277"/>
      <c r="H83" s="13"/>
      <c r="I83" s="13"/>
    </row>
    <row r="84" spans="1:9" ht="15.75" customHeight="1">
      <c r="A84" s="185" t="s">
        <v>475</v>
      </c>
      <c r="B84" s="66"/>
      <c r="C84" s="228"/>
      <c r="D84" s="345">
        <f t="shared" si="1"/>
        <v>2.4400000000000002E-2</v>
      </c>
      <c r="E84" s="345">
        <v>1.9599999999999999E-2</v>
      </c>
      <c r="F84" s="186">
        <f t="shared" si="0"/>
        <v>4.3999999999999997E-2</v>
      </c>
      <c r="G84" s="277"/>
      <c r="H84" s="13"/>
      <c r="I84" s="13"/>
    </row>
    <row r="85" spans="1:9" ht="15.75" customHeight="1">
      <c r="A85" s="185" t="s">
        <v>526</v>
      </c>
      <c r="B85" s="66"/>
      <c r="C85" s="228"/>
      <c r="D85" s="345">
        <f>+A66</f>
        <v>2.3E-2</v>
      </c>
      <c r="E85" s="345">
        <v>1.7999999999999999E-2</v>
      </c>
      <c r="F85" s="186">
        <f t="shared" si="0"/>
        <v>4.0999999999999995E-2</v>
      </c>
      <c r="G85" s="277"/>
      <c r="H85" s="13"/>
      <c r="I85" s="13"/>
    </row>
    <row r="86" spans="1:9" ht="15.75" customHeight="1">
      <c r="A86" s="187" t="s">
        <v>283</v>
      </c>
      <c r="B86" s="188"/>
      <c r="C86" s="229"/>
      <c r="D86" s="192">
        <f>+A67</f>
        <v>0.02</v>
      </c>
      <c r="E86" s="192">
        <v>1.7000000000000001E-2</v>
      </c>
      <c r="F86" s="189">
        <f t="shared" si="0"/>
        <v>3.7000000000000005E-2</v>
      </c>
      <c r="G86" s="277"/>
      <c r="H86" s="13"/>
      <c r="I86" s="13"/>
    </row>
    <row r="87" spans="1:9" ht="15.75" customHeight="1">
      <c r="A87" s="114"/>
      <c r="B87" s="130"/>
      <c r="C87" s="130" t="s">
        <v>56</v>
      </c>
      <c r="D87" s="190">
        <v>2.5499999999999998E-2</v>
      </c>
      <c r="E87" s="190">
        <v>1.9699999999999999E-2</v>
      </c>
      <c r="F87" s="190">
        <v>4.5199999999999997E-2</v>
      </c>
      <c r="G87" s="278"/>
      <c r="H87" s="13"/>
      <c r="I87" s="13"/>
    </row>
    <row r="88" spans="1:9" ht="15.75" customHeight="1">
      <c r="A88" s="114"/>
      <c r="B88" s="130"/>
      <c r="C88" s="130" t="s">
        <v>57</v>
      </c>
      <c r="D88" s="190">
        <v>0.02</v>
      </c>
      <c r="E88" s="190">
        <v>1.5800000000000002E-2</v>
      </c>
      <c r="F88" s="239">
        <v>3.6999999999999998E-2</v>
      </c>
      <c r="G88" s="278"/>
      <c r="H88" s="13"/>
      <c r="I88" s="13"/>
    </row>
    <row r="89" spans="1:9" ht="17.25" customHeight="1">
      <c r="A89" s="114"/>
      <c r="B89" s="130"/>
      <c r="C89" s="130" t="s">
        <v>18</v>
      </c>
      <c r="D89" s="447">
        <f>MEDIAN(D79:D86)</f>
        <v>2.375E-2</v>
      </c>
      <c r="E89" s="447">
        <f>MEDIAN(E79:E86)</f>
        <v>1.7500000000000002E-2</v>
      </c>
      <c r="F89" s="186">
        <f t="shared" ref="F89:F90" si="2">+D89+E89</f>
        <v>4.1250000000000002E-2</v>
      </c>
      <c r="G89" s="277"/>
      <c r="H89" s="13"/>
      <c r="I89" s="13"/>
    </row>
    <row r="90" spans="1:9" ht="21" customHeight="1">
      <c r="A90" s="114"/>
      <c r="B90" s="130"/>
      <c r="C90" s="130" t="s">
        <v>19</v>
      </c>
      <c r="D90" s="346">
        <f>AVERAGE(D79:D86)</f>
        <v>2.3662499999999996E-2</v>
      </c>
      <c r="E90" s="346">
        <f>AVERAGE(E79:E86)</f>
        <v>1.7762500000000001E-2</v>
      </c>
      <c r="F90" s="189">
        <f t="shared" si="2"/>
        <v>4.1424999999999997E-2</v>
      </c>
      <c r="G90" s="277"/>
      <c r="H90" s="13"/>
      <c r="I90" s="13"/>
    </row>
    <row r="91" spans="1:9" ht="21" customHeight="1">
      <c r="A91" s="13"/>
      <c r="B91" s="15"/>
    </row>
    <row r="92" spans="1:9" ht="21" customHeight="1" thickBot="1">
      <c r="A92" s="13"/>
      <c r="B92" s="15"/>
    </row>
    <row r="93" spans="1:9" ht="24" customHeight="1" thickBot="1">
      <c r="A93" s="13"/>
      <c r="B93" s="137"/>
      <c r="C93" s="51" t="s">
        <v>239</v>
      </c>
      <c r="D93" s="347">
        <v>2.366E-2</v>
      </c>
      <c r="E93" s="347">
        <v>1.7760000000000001E-2</v>
      </c>
      <c r="F93" s="350">
        <f>+D93+E93</f>
        <v>4.1419999999999998E-2</v>
      </c>
    </row>
    <row r="94" spans="1:9" ht="22.5" customHeight="1">
      <c r="A94" s="13"/>
      <c r="B94" s="13"/>
      <c r="C94" s="13"/>
      <c r="D94" s="13"/>
      <c r="E94" s="13"/>
      <c r="F94" s="13"/>
      <c r="G94" s="13"/>
      <c r="I94" s="13"/>
    </row>
    <row r="95" spans="1:9" ht="15" customHeight="1">
      <c r="A95" s="13"/>
      <c r="B95" s="13"/>
      <c r="C95" s="13"/>
      <c r="D95" s="13"/>
      <c r="E95" s="13"/>
      <c r="F95" s="13"/>
      <c r="G95" s="13"/>
      <c r="I95" s="13" t="s">
        <v>0</v>
      </c>
    </row>
    <row r="96" spans="1:9" ht="16.5" customHeight="1">
      <c r="A96" s="13"/>
      <c r="B96" s="13"/>
      <c r="C96" s="13"/>
      <c r="D96" s="13"/>
      <c r="E96" s="13"/>
      <c r="F96" s="13"/>
      <c r="G96" s="13"/>
      <c r="H96" s="13"/>
      <c r="I96" s="13"/>
    </row>
    <row r="97" spans="1:9" ht="15" customHeight="1">
      <c r="A97" s="138" t="s">
        <v>169</v>
      </c>
      <c r="B97" s="139"/>
      <c r="C97" s="139"/>
      <c r="D97" s="139"/>
      <c r="E97" s="140"/>
      <c r="F97" s="139"/>
      <c r="G97" s="139"/>
      <c r="H97" s="139"/>
      <c r="I97" s="13"/>
    </row>
    <row r="98" spans="1:9" ht="15" customHeight="1">
      <c r="A98" s="463" t="s">
        <v>409</v>
      </c>
      <c r="B98" s="463"/>
      <c r="C98" s="463"/>
      <c r="D98" s="463"/>
      <c r="E98" s="463"/>
      <c r="F98" s="463"/>
      <c r="G98" s="463"/>
      <c r="H98" s="463"/>
      <c r="I98" s="13"/>
    </row>
    <row r="99" spans="1:9" ht="15" customHeight="1">
      <c r="A99" s="162" t="s">
        <v>410</v>
      </c>
      <c r="B99" s="139"/>
      <c r="C99" s="162" t="s">
        <v>0</v>
      </c>
      <c r="D99" s="139"/>
      <c r="E99" s="140"/>
      <c r="F99" s="139"/>
      <c r="G99" s="139"/>
      <c r="H99" s="139"/>
      <c r="I99" s="13"/>
    </row>
    <row r="100" spans="1:9" ht="15" customHeight="1">
      <c r="A100" s="138"/>
      <c r="B100" s="139"/>
      <c r="C100" s="139"/>
      <c r="D100" s="139"/>
      <c r="E100" s="140"/>
      <c r="F100" s="139"/>
      <c r="G100" s="139"/>
      <c r="H100" s="139"/>
      <c r="I100" s="13"/>
    </row>
    <row r="101" spans="1:9" ht="15" customHeight="1">
      <c r="A101" s="463" t="s">
        <v>408</v>
      </c>
      <c r="B101" s="463"/>
      <c r="C101" s="463"/>
      <c r="D101" s="463"/>
      <c r="E101" s="463"/>
      <c r="F101" s="463"/>
      <c r="G101" s="463"/>
      <c r="H101" s="463"/>
      <c r="I101" s="13"/>
    </row>
    <row r="102" spans="1:9" ht="15" customHeight="1">
      <c r="A102" s="141" t="s">
        <v>170</v>
      </c>
      <c r="B102" s="142"/>
      <c r="C102" s="142" t="s">
        <v>0</v>
      </c>
      <c r="D102" s="142"/>
      <c r="E102" s="142"/>
      <c r="F102" s="142"/>
      <c r="G102" s="142"/>
      <c r="H102" s="139"/>
      <c r="I102" s="13"/>
    </row>
    <row r="103" spans="1:9" ht="15" customHeight="1">
      <c r="A103" s="141"/>
      <c r="B103" s="142"/>
      <c r="C103" s="142"/>
      <c r="D103" s="142"/>
      <c r="E103" s="142"/>
      <c r="F103" s="142"/>
      <c r="G103" s="142"/>
      <c r="H103" s="139"/>
      <c r="I103" s="13"/>
    </row>
    <row r="104" spans="1:9" ht="15" customHeight="1">
      <c r="A104" s="463" t="s">
        <v>238</v>
      </c>
      <c r="B104" s="463"/>
      <c r="C104" s="463"/>
      <c r="D104" s="463"/>
      <c r="E104" s="463"/>
      <c r="F104" s="463"/>
      <c r="G104" s="463"/>
      <c r="H104" s="463"/>
      <c r="I104" s="13"/>
    </row>
    <row r="105" spans="1:9" ht="15" customHeight="1">
      <c r="A105" s="141" t="s">
        <v>170</v>
      </c>
      <c r="B105" s="142"/>
      <c r="C105" s="142" t="s">
        <v>0</v>
      </c>
      <c r="D105" s="142"/>
      <c r="E105" s="142"/>
      <c r="F105" s="142"/>
      <c r="G105" s="142"/>
      <c r="H105" s="139"/>
      <c r="I105" s="13"/>
    </row>
    <row r="106" spans="1:9" ht="15" customHeight="1">
      <c r="A106" s="141"/>
      <c r="B106" s="142"/>
      <c r="C106" s="142"/>
      <c r="D106" s="142"/>
      <c r="E106" s="142"/>
      <c r="F106" s="142"/>
      <c r="G106" s="142"/>
      <c r="H106" s="139"/>
      <c r="I106" s="13"/>
    </row>
    <row r="107" spans="1:9" ht="15" customHeight="1">
      <c r="A107" s="463" t="s">
        <v>423</v>
      </c>
      <c r="B107" s="463"/>
      <c r="C107" s="463"/>
      <c r="D107" s="463"/>
      <c r="E107" s="463"/>
      <c r="F107" s="463"/>
      <c r="G107" s="463"/>
      <c r="H107" s="463"/>
      <c r="I107" s="13"/>
    </row>
    <row r="108" spans="1:9" ht="15" customHeight="1">
      <c r="A108" s="348" t="s">
        <v>171</v>
      </c>
      <c r="B108" s="142"/>
      <c r="C108" s="142"/>
      <c r="D108" s="142"/>
      <c r="E108" s="142"/>
      <c r="F108" s="142"/>
      <c r="G108" s="142"/>
      <c r="H108" s="139"/>
      <c r="I108" s="13"/>
    </row>
    <row r="109" spans="1:9" ht="15" customHeight="1">
      <c r="A109" s="162" t="s">
        <v>424</v>
      </c>
      <c r="B109" s="142"/>
      <c r="C109" s="142"/>
      <c r="D109" s="142"/>
      <c r="E109" s="142"/>
      <c r="F109" s="142"/>
      <c r="G109" s="142"/>
      <c r="H109" s="139"/>
      <c r="I109" s="13"/>
    </row>
    <row r="110" spans="1:9" ht="15" customHeight="1">
      <c r="A110" s="162"/>
      <c r="B110" s="142"/>
      <c r="C110" s="142"/>
      <c r="D110" s="142"/>
      <c r="E110" s="142"/>
      <c r="F110" s="142"/>
      <c r="G110" s="142"/>
      <c r="H110" s="139"/>
      <c r="I110" s="13"/>
    </row>
    <row r="111" spans="1:9" ht="15" customHeight="1">
      <c r="A111" s="144" t="s">
        <v>527</v>
      </c>
      <c r="B111" s="144"/>
      <c r="C111" s="144"/>
      <c r="D111" s="144"/>
      <c r="E111" s="144"/>
      <c r="F111" s="144"/>
      <c r="G111" s="144"/>
      <c r="H111" s="139"/>
      <c r="I111" s="13"/>
    </row>
    <row r="112" spans="1:9" ht="15" customHeight="1">
      <c r="A112" s="143" t="s">
        <v>172</v>
      </c>
      <c r="B112" s="142"/>
      <c r="C112" s="162" t="s">
        <v>528</v>
      </c>
      <c r="D112" s="142"/>
      <c r="E112" s="142"/>
      <c r="F112" s="142"/>
      <c r="G112" s="142"/>
      <c r="H112" s="139"/>
      <c r="I112" s="13"/>
    </row>
    <row r="113" spans="1:9" ht="16.5">
      <c r="A113" s="143"/>
      <c r="B113" s="145"/>
      <c r="C113" s="145"/>
      <c r="D113" s="145"/>
      <c r="E113" s="145"/>
      <c r="F113" s="145"/>
      <c r="G113" s="145"/>
      <c r="H113" s="146"/>
      <c r="I113" s="13"/>
    </row>
    <row r="114" spans="1:9" ht="16.5">
      <c r="A114" s="144" t="s">
        <v>284</v>
      </c>
    </row>
    <row r="115" spans="1:9">
      <c r="A115" s="349" t="s">
        <v>425</v>
      </c>
    </row>
  </sheetData>
  <mergeCells count="4">
    <mergeCell ref="A107:H107"/>
    <mergeCell ref="A98:H98"/>
    <mergeCell ref="A101:H101"/>
    <mergeCell ref="A104:H104"/>
  </mergeCells>
  <hyperlinks>
    <hyperlink ref="A102" r:id="rId1" xr:uid="{3D974E02-3370-49BD-81A0-395E213934E1}"/>
    <hyperlink ref="A112" r:id="rId2" location="4" display="https://www.cbo.gov/about/products/budget-economic-data - 4" xr:uid="{536518B4-C4BF-4988-BD3F-94072C3411E2}"/>
    <hyperlink ref="A108" r:id="rId3" xr:uid="{BA01119E-4911-4DAA-82F4-F2827C9CF979}"/>
    <hyperlink ref="A105" r:id="rId4" xr:uid="{30778AAA-A94F-4CDB-8D9C-80493EE61B74}"/>
    <hyperlink ref="A51" r:id="rId5" xr:uid="{EDF7F72B-12C6-4281-9172-100C10052729}"/>
    <hyperlink ref="B35" r:id="rId6" xr:uid="{757D40FB-C129-4BB8-B864-1BD4A9E8EC71}"/>
    <hyperlink ref="B38" r:id="rId7" xr:uid="{82361237-EF31-4A55-AC94-6A4DBCC82C71}"/>
    <hyperlink ref="B44" r:id="rId8" xr:uid="{6E95D018-2514-4AA7-A3EF-B6BEBA3E1000}"/>
    <hyperlink ref="B41" r:id="rId9" xr:uid="{B48515A7-162B-4315-A256-272BB26785D3}"/>
    <hyperlink ref="B47" r:id="rId10" xr:uid="{BC4359F5-16BC-4241-AE38-5BFD6C3E94C5}"/>
    <hyperlink ref="A99" r:id="rId11" xr:uid="{25673556-D415-4BE3-9597-42BD76F17852}"/>
    <hyperlink ref="A115" r:id="rId12" xr:uid="{33979EBA-126B-4FA0-A2EC-4E7BF4BD2067}"/>
    <hyperlink ref="C99" r:id="rId13" display="https://www.federalreserve.gov/datadownload/Preview.aspx?pi=400&amp;rel=H15&amp;preview=%20H15/H15/RIFLGFCY05_N.WF" xr:uid="{431A62FC-962C-4B6C-8A1E-27543E12FDFC}"/>
    <hyperlink ref="A109" r:id="rId14" display="https://www.philadelphiafed.org/-/media/frbp/assets/surveys-and-data/survey-of-professional-forecasters/2023/spfq123.pdf" xr:uid="{AE7AD8CF-3C35-43B7-B3D0-13A8C0E88870}"/>
    <hyperlink ref="C112" r:id="rId15" xr:uid="{5BB697A0-7FF2-4A01-9D8C-E6F944F3D06A}"/>
  </hyperlinks>
  <pageMargins left="0.25" right="0.25" top="0.75" bottom="0.75" header="0.3" footer="0.3"/>
  <pageSetup scale="30" fitToWidth="0" orientation="portrait" r:id="rId1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E6309-BD0A-46E7-99FD-8E3581EFB633}">
  <sheetPr>
    <tabColor rgb="FF92D050"/>
    <pageSetUpPr fitToPage="1"/>
  </sheetPr>
  <dimension ref="A1:I106"/>
  <sheetViews>
    <sheetView view="pageBreakPreview" topLeftCell="A28" zoomScale="70" zoomScaleNormal="80" zoomScaleSheetLayoutView="70" workbookViewId="0">
      <selection activeCell="D54" sqref="D54"/>
    </sheetView>
  </sheetViews>
  <sheetFormatPr defaultRowHeight="15"/>
  <cols>
    <col min="1" max="1" width="45.7109375" customWidth="1"/>
    <col min="2" max="2" width="16.85546875" customWidth="1"/>
    <col min="3" max="3" width="72.140625" customWidth="1"/>
    <col min="4" max="4" width="34.5703125" customWidth="1"/>
    <col min="5" max="5" width="21.7109375" customWidth="1"/>
    <col min="6" max="6" width="18.85546875" customWidth="1"/>
    <col min="7" max="7" width="24.85546875" customWidth="1"/>
    <col min="8" max="8" width="18" customWidth="1"/>
    <col min="9" max="9" width="20.85546875" customWidth="1"/>
    <col min="10" max="10" width="19" customWidth="1"/>
    <col min="11" max="11" width="17.28515625" customWidth="1"/>
    <col min="12" max="12" width="24.140625" customWidth="1"/>
  </cols>
  <sheetData>
    <row r="1" spans="1:9" ht="26.25">
      <c r="A1" s="25" t="s">
        <v>1</v>
      </c>
      <c r="B1" s="13"/>
      <c r="C1" s="13"/>
      <c r="D1" s="13"/>
      <c r="E1" s="13"/>
      <c r="F1" s="13"/>
      <c r="G1" s="13"/>
      <c r="H1" s="13"/>
      <c r="I1" s="13"/>
    </row>
    <row r="2" spans="1:9" ht="17.25">
      <c r="A2" s="66" t="s">
        <v>9</v>
      </c>
      <c r="B2" s="13"/>
      <c r="C2" s="13"/>
      <c r="D2" s="13"/>
      <c r="E2" s="13"/>
      <c r="F2" s="13"/>
      <c r="G2" s="13"/>
      <c r="H2" s="13"/>
      <c r="I2" s="13"/>
    </row>
    <row r="3" spans="1:9" ht="16.5">
      <c r="A3" s="45" t="s">
        <v>81</v>
      </c>
      <c r="B3" s="13"/>
      <c r="C3" s="13"/>
      <c r="D3" s="13"/>
      <c r="E3" s="13"/>
      <c r="F3" s="13"/>
      <c r="G3" s="13"/>
      <c r="H3" s="13"/>
      <c r="I3" s="13"/>
    </row>
    <row r="4" spans="1:9" ht="16.5">
      <c r="A4" s="13"/>
      <c r="B4" s="13"/>
      <c r="C4" s="13"/>
      <c r="D4" s="13"/>
      <c r="E4" s="13"/>
      <c r="F4" s="13"/>
      <c r="G4" s="13"/>
      <c r="H4" s="13"/>
      <c r="I4" s="13"/>
    </row>
    <row r="5" spans="1:9" ht="18" thickBot="1">
      <c r="A5" s="66"/>
      <c r="B5" s="13"/>
      <c r="C5" s="13"/>
      <c r="D5" s="13"/>
      <c r="E5" s="13"/>
      <c r="F5" s="13"/>
      <c r="G5" s="13"/>
      <c r="H5" s="13"/>
      <c r="I5" s="13"/>
    </row>
    <row r="6" spans="1:9" ht="21" thickBot="1">
      <c r="A6" s="281" t="str">
        <f>+'S&amp;D'!A12</f>
        <v>Natural Gas Utility Distribution</v>
      </c>
      <c r="B6" s="211"/>
      <c r="C6" s="13"/>
      <c r="D6" s="13"/>
      <c r="E6" s="13"/>
      <c r="F6" s="13"/>
      <c r="G6" s="13"/>
      <c r="H6" s="13"/>
      <c r="I6" s="13"/>
    </row>
    <row r="7" spans="1:9" ht="18" thickBot="1">
      <c r="A7" s="66"/>
      <c r="B7" s="13"/>
      <c r="C7" s="30"/>
      <c r="E7" s="13"/>
      <c r="F7" s="13"/>
      <c r="G7" s="13"/>
      <c r="H7" s="13"/>
      <c r="I7" s="13"/>
    </row>
    <row r="8" spans="1:9" ht="26.25">
      <c r="B8" s="13"/>
      <c r="C8" s="33" t="s">
        <v>179</v>
      </c>
      <c r="E8" s="13"/>
      <c r="F8" s="13"/>
      <c r="G8" s="13"/>
      <c r="H8" s="13"/>
      <c r="I8" s="13"/>
    </row>
    <row r="9" spans="1:9" ht="21" thickBot="1">
      <c r="A9" s="32"/>
      <c r="B9" s="13"/>
      <c r="C9" s="34" t="s">
        <v>95</v>
      </c>
      <c r="E9" s="13"/>
      <c r="F9" s="13"/>
      <c r="G9" s="13"/>
      <c r="H9" s="13"/>
      <c r="I9" s="13"/>
    </row>
    <row r="10" spans="1:9" ht="15" customHeight="1">
      <c r="A10" s="32"/>
      <c r="B10" s="13"/>
      <c r="C10" s="13"/>
      <c r="D10" s="13"/>
      <c r="E10" s="13"/>
      <c r="F10" s="13"/>
      <c r="G10" s="13"/>
      <c r="H10" s="13"/>
      <c r="I10" s="13"/>
    </row>
    <row r="11" spans="1:9" ht="17.25" thickBot="1">
      <c r="A11" s="13"/>
      <c r="B11" s="13"/>
      <c r="C11" s="13"/>
      <c r="D11" s="13"/>
      <c r="E11" s="13"/>
      <c r="F11" s="13"/>
      <c r="G11" s="13"/>
      <c r="H11" s="13"/>
      <c r="I11" s="13"/>
    </row>
    <row r="12" spans="1:9" ht="16.5">
      <c r="A12" s="13"/>
      <c r="B12" s="13"/>
      <c r="C12" s="82" t="s">
        <v>0</v>
      </c>
      <c r="D12" s="82" t="s">
        <v>214</v>
      </c>
      <c r="E12" s="13"/>
      <c r="F12" s="13"/>
      <c r="G12" s="13"/>
      <c r="H12" s="13"/>
      <c r="I12" s="13"/>
    </row>
    <row r="13" spans="1:9" ht="21" thickBot="1">
      <c r="A13" s="13"/>
      <c r="B13" s="13"/>
      <c r="C13" s="382" t="s">
        <v>178</v>
      </c>
      <c r="D13" s="84" t="s">
        <v>311</v>
      </c>
      <c r="E13" s="13"/>
      <c r="F13" s="13"/>
      <c r="G13" s="13"/>
      <c r="H13" s="13"/>
      <c r="I13" s="13"/>
    </row>
    <row r="14" spans="1:9" ht="17.25">
      <c r="A14" s="13"/>
      <c r="B14" s="13"/>
      <c r="C14" s="414" t="s">
        <v>468</v>
      </c>
      <c r="D14" s="417">
        <f>+CAPM!F16</f>
        <v>7.1143999999999999E-2</v>
      </c>
      <c r="E14" s="419"/>
      <c r="F14" s="13"/>
      <c r="G14" s="13"/>
      <c r="H14" s="13"/>
      <c r="I14" s="13"/>
    </row>
    <row r="15" spans="1:9" ht="17.25">
      <c r="A15" s="13"/>
      <c r="B15" s="13"/>
      <c r="C15" s="415" t="s">
        <v>469</v>
      </c>
      <c r="D15" s="418">
        <f>+CAPM!F17</f>
        <v>8.2496E-2</v>
      </c>
      <c r="E15" s="419"/>
      <c r="F15" s="13" t="s">
        <v>0</v>
      </c>
      <c r="G15" s="13"/>
      <c r="H15" s="13"/>
      <c r="I15" s="13"/>
    </row>
    <row r="16" spans="1:9" ht="17.25">
      <c r="A16" s="13"/>
      <c r="B16" s="13"/>
      <c r="C16" s="415" t="s">
        <v>498</v>
      </c>
      <c r="D16" s="418">
        <f>+CAPM!F19</f>
        <v>9.3672000000000005E-2</v>
      </c>
      <c r="E16" s="419"/>
      <c r="F16" s="13" t="s">
        <v>0</v>
      </c>
      <c r="G16" s="13"/>
      <c r="H16" s="13"/>
      <c r="I16" s="13"/>
    </row>
    <row r="17" spans="1:9" ht="17.25">
      <c r="A17" s="13"/>
      <c r="B17" s="13"/>
      <c r="C17" s="415" t="s">
        <v>514</v>
      </c>
      <c r="D17" s="418">
        <f>+CAPM!F20</f>
        <v>9.2880000000000004E-2</v>
      </c>
      <c r="E17" s="419"/>
      <c r="F17" s="13"/>
      <c r="G17" s="13"/>
      <c r="H17" s="13"/>
      <c r="I17" s="13"/>
    </row>
    <row r="18" spans="1:9" ht="17.25">
      <c r="A18" s="13"/>
      <c r="B18" s="13"/>
      <c r="C18" s="415" t="s">
        <v>499</v>
      </c>
      <c r="D18" s="418">
        <f>+CAPM!F21</f>
        <v>9.1383999999999993E-2</v>
      </c>
      <c r="E18" s="419"/>
      <c r="F18" s="13"/>
      <c r="G18" s="13"/>
      <c r="H18" s="13"/>
      <c r="I18" s="13"/>
    </row>
    <row r="19" spans="1:9" ht="17.25">
      <c r="A19" s="13"/>
      <c r="B19" s="13"/>
      <c r="C19" s="415" t="s">
        <v>500</v>
      </c>
      <c r="D19" s="418">
        <f>+CAPM!F22</f>
        <v>8.3904000000000006E-2</v>
      </c>
      <c r="E19" s="419"/>
      <c r="F19" s="13"/>
      <c r="G19" s="13"/>
      <c r="H19" s="13"/>
      <c r="I19" s="13"/>
    </row>
    <row r="20" spans="1:9" ht="17.25">
      <c r="A20" s="13"/>
      <c r="B20" s="13"/>
      <c r="C20" s="415" t="s">
        <v>180</v>
      </c>
      <c r="D20" s="418">
        <f>+CAPM!F24</f>
        <v>8.205599999999999E-2</v>
      </c>
      <c r="E20" s="419"/>
      <c r="F20" s="13"/>
      <c r="G20" s="13"/>
      <c r="H20" s="13"/>
      <c r="I20" s="13"/>
    </row>
    <row r="21" spans="1:9" ht="17.25">
      <c r="A21" s="13"/>
      <c r="B21" s="13"/>
      <c r="C21" s="415" t="s">
        <v>181</v>
      </c>
      <c r="D21" s="418">
        <f>+CAPM!F26</f>
        <v>9.0680000000000011E-2</v>
      </c>
      <c r="E21" s="419"/>
      <c r="F21" s="13"/>
      <c r="G21" s="13"/>
      <c r="H21" s="13"/>
      <c r="I21" s="13"/>
    </row>
    <row r="22" spans="1:9" ht="17.25">
      <c r="A22" s="13"/>
      <c r="B22" s="13"/>
      <c r="C22" s="415" t="s">
        <v>182</v>
      </c>
      <c r="D22" s="418">
        <f>+CAPM!F28</f>
        <v>9.6664E-2</v>
      </c>
      <c r="E22" s="449"/>
      <c r="G22" s="13"/>
      <c r="H22" s="13"/>
      <c r="I22" s="13"/>
    </row>
    <row r="23" spans="1:9" ht="17.25">
      <c r="A23" s="13"/>
      <c r="B23" s="13"/>
      <c r="C23" s="415" t="s">
        <v>183</v>
      </c>
      <c r="D23" s="418">
        <f>+CAPM!F29</f>
        <v>8.5488000000000008E-2</v>
      </c>
      <c r="E23" s="449"/>
      <c r="G23" s="13"/>
      <c r="H23" s="13"/>
      <c r="I23" s="13"/>
    </row>
    <row r="24" spans="1:9" ht="17.25">
      <c r="A24" s="13"/>
      <c r="B24" s="13"/>
      <c r="C24" s="416" t="s">
        <v>501</v>
      </c>
      <c r="D24" s="418">
        <f>+CAPM!F31</f>
        <v>0.10449600000000001</v>
      </c>
      <c r="E24" s="449"/>
      <c r="G24" s="13"/>
      <c r="H24" s="13"/>
      <c r="I24" s="13"/>
    </row>
    <row r="25" spans="1:9" ht="17.25">
      <c r="A25" s="13"/>
      <c r="B25" s="13"/>
      <c r="C25" s="416" t="s">
        <v>502</v>
      </c>
      <c r="D25" s="418">
        <f>+CAPM!F32</f>
        <v>9.7280000000000005E-2</v>
      </c>
      <c r="E25" s="420"/>
      <c r="F25" s="13"/>
      <c r="G25" s="13"/>
      <c r="H25" s="13"/>
      <c r="I25" s="13"/>
    </row>
    <row r="26" spans="1:9" ht="17.25">
      <c r="A26" s="13"/>
      <c r="B26" s="13"/>
      <c r="C26" s="416" t="s">
        <v>503</v>
      </c>
      <c r="D26" s="418">
        <f>+CAPM!F33</f>
        <v>9.4200000000000006E-2</v>
      </c>
      <c r="E26" s="420"/>
      <c r="F26" s="13"/>
      <c r="G26" s="13"/>
      <c r="H26" s="13"/>
      <c r="I26" s="13"/>
    </row>
    <row r="27" spans="1:9" ht="17.25">
      <c r="A27" s="13"/>
      <c r="B27" s="13"/>
      <c r="C27" s="416" t="s">
        <v>490</v>
      </c>
      <c r="D27" s="418">
        <f>+CAPM!F35</f>
        <v>9.4200000000000006E-2</v>
      </c>
      <c r="E27" s="420"/>
      <c r="F27" s="13"/>
      <c r="G27" s="13"/>
      <c r="H27" s="13"/>
      <c r="I27" s="13"/>
    </row>
    <row r="28" spans="1:9" ht="17.25">
      <c r="A28" s="13"/>
      <c r="B28" s="13"/>
      <c r="C28" s="415" t="s">
        <v>470</v>
      </c>
      <c r="D28" s="418">
        <f>+CAPM!G42</f>
        <v>7.2158E-2</v>
      </c>
      <c r="E28" s="419"/>
      <c r="F28" s="13"/>
      <c r="G28" s="13"/>
      <c r="H28" s="13"/>
      <c r="I28" s="13"/>
    </row>
    <row r="29" spans="1:9" ht="17.25">
      <c r="A29" s="13"/>
      <c r="B29" s="13"/>
      <c r="C29" s="415" t="s">
        <v>471</v>
      </c>
      <c r="D29" s="418">
        <f>+CAPM!G43</f>
        <v>8.3896999999999999E-2</v>
      </c>
      <c r="E29" s="419"/>
      <c r="F29" s="13"/>
      <c r="G29" s="13"/>
      <c r="H29" s="13"/>
      <c r="I29" s="13"/>
    </row>
    <row r="30" spans="1:9" ht="17.25">
      <c r="A30" s="13"/>
      <c r="B30" s="13"/>
      <c r="C30" s="415" t="s">
        <v>504</v>
      </c>
      <c r="D30" s="418">
        <f>+CAPM!G45</f>
        <v>9.5454000000000011E-2</v>
      </c>
      <c r="E30" s="419"/>
      <c r="F30" s="13"/>
      <c r="G30" s="13"/>
      <c r="H30" s="13"/>
      <c r="I30" s="13"/>
    </row>
    <row r="31" spans="1:9" ht="17.25">
      <c r="A31" s="13"/>
      <c r="B31" s="13"/>
      <c r="C31" s="415" t="s">
        <v>515</v>
      </c>
      <c r="D31" s="418">
        <f>+CAPM!G46</f>
        <v>9.4634999999999997E-2</v>
      </c>
      <c r="E31" s="419"/>
      <c r="F31" s="13"/>
      <c r="G31" s="13"/>
      <c r="H31" s="13"/>
      <c r="I31" s="13"/>
    </row>
    <row r="32" spans="1:9" ht="17.25">
      <c r="A32" s="13"/>
      <c r="B32" s="13"/>
      <c r="C32" s="415" t="s">
        <v>505</v>
      </c>
      <c r="D32" s="418">
        <f>+CAPM!G47</f>
        <v>9.3088000000000004E-2</v>
      </c>
      <c r="E32" s="419"/>
      <c r="F32" s="13"/>
      <c r="G32" s="13"/>
      <c r="H32" s="13"/>
      <c r="I32" s="13"/>
    </row>
    <row r="33" spans="1:9" ht="17.25">
      <c r="A33" s="13"/>
      <c r="B33" s="13"/>
      <c r="C33" s="415" t="s">
        <v>506</v>
      </c>
      <c r="D33" s="418">
        <f>+CAPM!G48</f>
        <v>8.5353000000000012E-2</v>
      </c>
      <c r="E33" s="419"/>
      <c r="F33" s="13"/>
      <c r="G33" s="13"/>
      <c r="H33" s="13"/>
      <c r="I33" s="13"/>
    </row>
    <row r="34" spans="1:9" ht="17.25">
      <c r="A34" s="13"/>
      <c r="B34" s="13"/>
      <c r="C34" s="415" t="s">
        <v>184</v>
      </c>
      <c r="D34" s="418">
        <f>+CAPM!G50</f>
        <v>8.3441999999999988E-2</v>
      </c>
      <c r="E34" s="419"/>
      <c r="F34" s="13"/>
      <c r="G34" s="13"/>
      <c r="H34" s="13"/>
      <c r="I34" s="13"/>
    </row>
    <row r="35" spans="1:9" ht="17.25">
      <c r="A35" s="13"/>
      <c r="B35" s="13"/>
      <c r="C35" s="437" t="s">
        <v>185</v>
      </c>
      <c r="D35" s="418">
        <f>+CAPM!G52</f>
        <v>9.2359999999999998E-2</v>
      </c>
      <c r="E35" s="419"/>
      <c r="F35" s="13"/>
      <c r="G35" s="13"/>
      <c r="H35" s="13"/>
      <c r="I35" s="13"/>
    </row>
    <row r="36" spans="1:9" ht="17.25">
      <c r="A36" s="13"/>
      <c r="B36" s="13"/>
      <c r="C36" s="438" t="s">
        <v>186</v>
      </c>
      <c r="D36" s="418">
        <f>+CAPM!G54</f>
        <v>9.8547999999999997E-2</v>
      </c>
      <c r="E36" s="419"/>
      <c r="F36" s="13"/>
      <c r="G36" s="13"/>
      <c r="H36" s="13"/>
      <c r="I36" s="13"/>
    </row>
    <row r="37" spans="1:9" ht="17.25">
      <c r="A37" s="13"/>
      <c r="B37" s="13"/>
      <c r="C37" s="437" t="s">
        <v>187</v>
      </c>
      <c r="D37" s="418">
        <f>+CAPM!G55</f>
        <v>8.6990999999999999E-2</v>
      </c>
      <c r="E37" s="419"/>
      <c r="F37" s="13"/>
      <c r="G37" s="13"/>
      <c r="H37" s="13"/>
      <c r="I37" s="13"/>
    </row>
    <row r="38" spans="1:9" ht="16.5" customHeight="1">
      <c r="A38" s="13"/>
      <c r="B38" s="13"/>
      <c r="C38" s="416" t="s">
        <v>507</v>
      </c>
      <c r="D38" s="418">
        <f>+CAPM!G57</f>
        <v>0.10664699999999999</v>
      </c>
      <c r="E38" s="419" t="s">
        <v>0</v>
      </c>
      <c r="F38" s="13"/>
      <c r="G38" s="13"/>
      <c r="H38" s="13"/>
      <c r="I38" s="13"/>
    </row>
    <row r="39" spans="1:9" ht="16.5" customHeight="1">
      <c r="A39" s="13"/>
      <c r="B39" s="13"/>
      <c r="C39" s="416" t="s">
        <v>508</v>
      </c>
      <c r="D39" s="418">
        <f>+CAPM!G58</f>
        <v>9.9184999999999995E-2</v>
      </c>
      <c r="E39" s="419"/>
      <c r="F39" s="13"/>
      <c r="G39" s="13"/>
      <c r="H39" s="13"/>
      <c r="I39" s="13"/>
    </row>
    <row r="40" spans="1:9" ht="18.75" customHeight="1">
      <c r="A40" s="13"/>
      <c r="B40" s="13"/>
      <c r="C40" s="416" t="s">
        <v>509</v>
      </c>
      <c r="D40" s="418">
        <f>+CAPM!G59</f>
        <v>9.6000000000000002E-2</v>
      </c>
      <c r="E40" s="421"/>
      <c r="F40" s="13"/>
      <c r="G40" s="13"/>
      <c r="H40" s="13"/>
      <c r="I40" s="13"/>
    </row>
    <row r="41" spans="1:9" ht="18.75" customHeight="1">
      <c r="A41" s="13"/>
      <c r="B41" s="13"/>
      <c r="C41" s="441" t="s">
        <v>489</v>
      </c>
      <c r="D41" s="450">
        <f>+CAPM!G61</f>
        <v>9.6000000000000002E-2</v>
      </c>
      <c r="E41" s="449"/>
      <c r="G41" s="13"/>
      <c r="H41" s="13"/>
      <c r="I41" s="13"/>
    </row>
    <row r="42" spans="1:9" ht="21.75" customHeight="1">
      <c r="A42" s="13"/>
      <c r="B42" s="13"/>
      <c r="C42" s="439" t="s">
        <v>264</v>
      </c>
      <c r="D42" s="440">
        <f>+'Single Stage Div Growth Model'!I34</f>
        <v>8.3799999999999999E-2</v>
      </c>
      <c r="E42" s="449"/>
      <c r="G42" s="13"/>
      <c r="H42" s="13"/>
      <c r="I42" s="13"/>
    </row>
    <row r="43" spans="1:9" ht="21.75" customHeight="1">
      <c r="A43" s="13"/>
      <c r="B43" s="13"/>
      <c r="C43" s="285" t="s">
        <v>263</v>
      </c>
      <c r="D43" s="440">
        <f>+'Single Stage Div Growth Model'!I36</f>
        <v>0.1043</v>
      </c>
      <c r="E43" s="449"/>
      <c r="G43" s="13"/>
      <c r="H43" s="13"/>
      <c r="I43" s="13"/>
    </row>
    <row r="44" spans="1:9" ht="21.75" customHeight="1">
      <c r="A44" s="13"/>
      <c r="B44" s="13"/>
      <c r="C44" s="383" t="s">
        <v>265</v>
      </c>
      <c r="D44" s="451">
        <f>+'Two-Stage Dividend Growth Model'!H38</f>
        <v>9.5799999999999996E-2</v>
      </c>
      <c r="E44" s="449"/>
      <c r="G44" s="85" t="s">
        <v>0</v>
      </c>
      <c r="H44" s="13"/>
      <c r="I44" s="13"/>
    </row>
    <row r="45" spans="1:9" ht="21.75" customHeight="1">
      <c r="A45" s="13"/>
      <c r="B45" s="13"/>
      <c r="C45" s="380" t="s">
        <v>391</v>
      </c>
      <c r="D45" s="379">
        <f>+'Direct NOPAT'!G67</f>
        <v>7.1400000000000005E-2</v>
      </c>
      <c r="E45" s="203" t="s">
        <v>0</v>
      </c>
      <c r="F45" s="13"/>
      <c r="G45" s="13"/>
      <c r="H45" s="13"/>
      <c r="I45" s="13"/>
    </row>
    <row r="46" spans="1:9" ht="17.25" thickBot="1">
      <c r="A46" s="13"/>
      <c r="B46" s="13"/>
      <c r="C46" s="13"/>
      <c r="D46" s="74"/>
      <c r="E46" s="13"/>
      <c r="F46" s="13"/>
      <c r="G46" s="13"/>
      <c r="H46" s="13"/>
      <c r="I46" s="13"/>
    </row>
    <row r="47" spans="1:9" ht="17.25" thickTop="1">
      <c r="A47" s="13"/>
      <c r="B47" s="13"/>
      <c r="C47" s="15" t="s">
        <v>56</v>
      </c>
      <c r="D47" s="54">
        <v>0.1066</v>
      </c>
      <c r="E47" s="161"/>
      <c r="F47" s="13"/>
      <c r="G47" s="13"/>
      <c r="H47" s="13"/>
      <c r="I47" s="13"/>
    </row>
    <row r="48" spans="1:9" ht="16.5">
      <c r="A48" s="13"/>
      <c r="B48" s="13"/>
      <c r="C48" s="15" t="s">
        <v>57</v>
      </c>
      <c r="D48" s="381">
        <v>7.1400000000000005E-2</v>
      </c>
      <c r="E48" s="13"/>
      <c r="F48" s="13"/>
      <c r="G48" s="54"/>
      <c r="H48" s="54"/>
      <c r="I48" s="54"/>
    </row>
    <row r="49" spans="1:9" ht="16.5">
      <c r="A49" s="13"/>
      <c r="B49" s="13"/>
      <c r="C49" s="15" t="s">
        <v>18</v>
      </c>
      <c r="D49" s="85">
        <f>MEDIAN(D14:D44)</f>
        <v>9.3088000000000004E-2</v>
      </c>
      <c r="E49" s="85"/>
      <c r="F49" s="85"/>
      <c r="G49" s="85"/>
      <c r="H49" s="85"/>
      <c r="I49" s="85"/>
    </row>
    <row r="50" spans="1:9" ht="16.5">
      <c r="A50" s="13"/>
      <c r="B50" s="13"/>
      <c r="C50" s="15" t="s">
        <v>474</v>
      </c>
      <c r="D50" s="86">
        <f>AVERAGE(D14:D44)</f>
        <v>9.1232322580645162E-2</v>
      </c>
      <c r="E50" s="86"/>
      <c r="F50" s="86"/>
      <c r="G50" s="86"/>
      <c r="H50" s="86"/>
      <c r="I50" s="86"/>
    </row>
    <row r="51" spans="1:9" ht="16.5">
      <c r="A51" s="13"/>
      <c r="B51" s="13"/>
      <c r="C51" s="15" t="s">
        <v>491</v>
      </c>
      <c r="D51" s="86">
        <f>HARMEAN(D14:D44)</f>
        <v>9.0430509304474688E-2</v>
      </c>
      <c r="E51" s="86"/>
      <c r="F51" s="86"/>
      <c r="G51" s="86"/>
      <c r="H51" s="86"/>
      <c r="I51" s="86"/>
    </row>
    <row r="52" spans="1:9" ht="17.25" thickBot="1">
      <c r="A52" s="13"/>
      <c r="B52" s="13"/>
      <c r="C52" s="13"/>
      <c r="D52" s="13" t="s">
        <v>217</v>
      </c>
      <c r="E52" s="13"/>
      <c r="F52" s="13"/>
      <c r="G52" s="13"/>
      <c r="H52" s="13"/>
      <c r="I52" s="13"/>
    </row>
    <row r="53" spans="1:9" ht="27" thickBot="1">
      <c r="A53" s="13"/>
      <c r="B53" s="13"/>
      <c r="C53" s="220" t="s">
        <v>272</v>
      </c>
      <c r="D53" s="443">
        <v>9.1200000000000003E-2</v>
      </c>
      <c r="E53" s="87"/>
      <c r="F53" s="87"/>
    </row>
    <row r="54" spans="1:9" ht="16.5">
      <c r="B54" s="13"/>
      <c r="C54" s="13"/>
      <c r="D54" s="13"/>
      <c r="E54" s="13"/>
      <c r="F54" s="13"/>
      <c r="G54" s="13"/>
      <c r="H54" s="13"/>
      <c r="I54" s="13"/>
    </row>
    <row r="55" spans="1:9" ht="16.5">
      <c r="B55" s="13"/>
      <c r="C55" s="13"/>
      <c r="D55" s="13"/>
      <c r="E55" s="13"/>
      <c r="F55" s="13"/>
      <c r="G55" s="13"/>
      <c r="H55" s="13"/>
      <c r="I55" s="13"/>
    </row>
    <row r="56" spans="1:9" ht="16.5">
      <c r="A56" s="13"/>
      <c r="B56" s="13"/>
      <c r="C56" s="13"/>
      <c r="D56" s="13"/>
      <c r="E56" s="13"/>
      <c r="F56" s="13"/>
      <c r="G56" s="13"/>
      <c r="H56" s="13"/>
      <c r="I56" s="13"/>
    </row>
    <row r="57" spans="1:9" ht="16.5">
      <c r="A57" s="13"/>
      <c r="B57" s="13"/>
      <c r="C57" s="13"/>
      <c r="D57" s="13"/>
      <c r="E57" s="13"/>
      <c r="F57" s="13"/>
      <c r="G57" s="13"/>
      <c r="H57" s="13"/>
      <c r="I57" s="13"/>
    </row>
    <row r="58" spans="1:9" ht="17.25">
      <c r="A58" s="114" t="s">
        <v>273</v>
      </c>
      <c r="B58" s="13"/>
      <c r="C58" s="13"/>
      <c r="D58" s="13"/>
      <c r="E58" s="13"/>
      <c r="F58" s="13"/>
      <c r="G58" s="13"/>
      <c r="H58" s="13"/>
      <c r="I58" s="13"/>
    </row>
    <row r="59" spans="1:9" ht="17.25">
      <c r="A59" s="114" t="s">
        <v>395</v>
      </c>
      <c r="B59" s="13"/>
      <c r="C59" s="13"/>
      <c r="D59" s="13"/>
      <c r="E59" s="13"/>
      <c r="F59" s="13"/>
      <c r="G59" s="13"/>
      <c r="H59" s="13"/>
      <c r="I59" s="13"/>
    </row>
    <row r="60" spans="1:9" ht="16.5">
      <c r="A60" s="13"/>
      <c r="B60" s="13"/>
      <c r="C60" s="13"/>
      <c r="D60" s="13" t="s">
        <v>0</v>
      </c>
      <c r="E60" s="13"/>
      <c r="F60" s="13"/>
      <c r="G60" s="13"/>
      <c r="H60" s="13"/>
      <c r="I60" s="13"/>
    </row>
    <row r="61" spans="1:9" ht="16.5">
      <c r="A61" s="13"/>
      <c r="B61" s="13"/>
      <c r="C61" s="13"/>
      <c r="D61" s="13" t="s">
        <v>0</v>
      </c>
      <c r="E61" s="13"/>
      <c r="F61" s="13"/>
      <c r="G61" s="13"/>
      <c r="H61" s="13"/>
      <c r="I61" s="13"/>
    </row>
    <row r="62" spans="1:9" ht="16.5">
      <c r="A62" s="13"/>
      <c r="B62" s="13"/>
      <c r="C62" s="13"/>
      <c r="D62" s="13"/>
      <c r="E62" s="13"/>
      <c r="F62" s="13"/>
      <c r="G62" s="13"/>
      <c r="H62" s="13"/>
      <c r="I62" s="13"/>
    </row>
    <row r="63" spans="1:9" ht="16.5">
      <c r="A63" s="13"/>
      <c r="B63" s="13"/>
      <c r="C63" s="13"/>
      <c r="D63" s="13"/>
      <c r="E63" s="13"/>
      <c r="F63" s="13"/>
      <c r="G63" s="13"/>
      <c r="H63" s="13"/>
      <c r="I63" s="13"/>
    </row>
    <row r="64" spans="1:9" ht="16.5">
      <c r="A64" s="13"/>
      <c r="B64" s="13"/>
      <c r="C64" s="13"/>
      <c r="D64" s="13"/>
      <c r="E64" s="13"/>
      <c r="F64" s="13"/>
      <c r="G64" s="13"/>
      <c r="H64" s="13"/>
      <c r="I64" s="13"/>
    </row>
    <row r="65" spans="1:9" ht="16.5">
      <c r="A65" s="13"/>
      <c r="B65" s="13"/>
      <c r="C65" s="13"/>
      <c r="D65" s="13"/>
      <c r="E65" s="13"/>
      <c r="F65" s="13"/>
      <c r="G65" s="13"/>
      <c r="H65" s="13"/>
      <c r="I65" s="13"/>
    </row>
    <row r="66" spans="1:9" ht="16.5">
      <c r="A66" s="13"/>
      <c r="B66" s="13"/>
      <c r="C66" s="13"/>
      <c r="D66" s="13"/>
      <c r="E66" s="13"/>
      <c r="F66" s="13"/>
      <c r="G66" s="13"/>
      <c r="H66" s="13"/>
      <c r="I66" s="13"/>
    </row>
    <row r="67" spans="1:9" ht="16.5">
      <c r="A67" s="13"/>
      <c r="B67" s="13"/>
      <c r="C67" s="13"/>
      <c r="D67" s="13"/>
      <c r="E67" s="13"/>
      <c r="F67" s="13"/>
      <c r="G67" s="13"/>
      <c r="H67" s="13"/>
      <c r="I67" s="13"/>
    </row>
    <row r="68" spans="1:9" ht="16.5">
      <c r="A68" s="13"/>
      <c r="B68" s="13"/>
      <c r="C68" s="13"/>
      <c r="D68" s="13"/>
      <c r="E68" s="13"/>
      <c r="F68" s="13"/>
      <c r="G68" s="13"/>
      <c r="H68" s="13"/>
      <c r="I68" s="13"/>
    </row>
    <row r="69" spans="1:9" ht="16.5">
      <c r="A69" s="13"/>
      <c r="B69" s="13"/>
      <c r="C69" s="13"/>
      <c r="D69" s="13"/>
      <c r="E69" s="13"/>
      <c r="F69" s="13"/>
      <c r="G69" s="13"/>
      <c r="H69" s="13"/>
      <c r="I69" s="13"/>
    </row>
    <row r="70" spans="1:9" ht="16.5">
      <c r="A70" s="13"/>
      <c r="B70" s="13"/>
      <c r="C70" s="13"/>
      <c r="D70" s="13"/>
      <c r="E70" s="13"/>
      <c r="F70" s="13"/>
      <c r="G70" s="13"/>
      <c r="H70" s="13"/>
      <c r="I70" s="13"/>
    </row>
    <row r="71" spans="1:9" ht="16.5">
      <c r="A71" s="13"/>
      <c r="B71" s="13"/>
      <c r="C71" s="13"/>
      <c r="D71" s="13"/>
      <c r="E71" s="13"/>
      <c r="F71" s="13"/>
      <c r="G71" s="13"/>
      <c r="H71" s="13"/>
      <c r="I71" s="13"/>
    </row>
    <row r="72" spans="1:9" ht="16.5">
      <c r="A72" s="13"/>
      <c r="B72" s="13"/>
      <c r="C72" s="13"/>
      <c r="D72" s="13"/>
      <c r="E72" s="13"/>
      <c r="F72" s="13"/>
      <c r="G72" s="13"/>
      <c r="H72" s="13"/>
      <c r="I72" s="13"/>
    </row>
    <row r="73" spans="1:9" ht="16.5">
      <c r="A73" s="13"/>
      <c r="B73" s="13"/>
      <c r="C73" s="13"/>
      <c r="D73" s="13"/>
      <c r="E73" s="13"/>
      <c r="F73" s="13"/>
      <c r="G73" s="13"/>
      <c r="H73" s="13"/>
      <c r="I73" s="13"/>
    </row>
    <row r="74" spans="1:9" ht="16.5">
      <c r="A74" s="13"/>
      <c r="B74" s="13"/>
      <c r="C74" s="13"/>
      <c r="D74" s="13"/>
      <c r="E74" s="13"/>
      <c r="F74" s="13"/>
      <c r="G74" s="13"/>
      <c r="H74" s="13"/>
      <c r="I74" s="13"/>
    </row>
    <row r="75" spans="1:9" ht="16.5">
      <c r="A75" s="13"/>
      <c r="B75" s="13"/>
      <c r="C75" s="13"/>
      <c r="D75" s="13"/>
      <c r="E75" s="13"/>
      <c r="F75" s="13"/>
      <c r="G75" s="13"/>
      <c r="H75" s="13"/>
      <c r="I75" s="13"/>
    </row>
    <row r="76" spans="1:9" ht="16.5">
      <c r="A76" s="13"/>
      <c r="B76" s="13"/>
      <c r="C76" s="13"/>
      <c r="D76" s="13"/>
      <c r="E76" s="13"/>
      <c r="F76" s="13"/>
      <c r="G76" s="13"/>
      <c r="H76" s="13"/>
      <c r="I76" s="13"/>
    </row>
    <row r="77" spans="1:9" ht="16.5">
      <c r="A77" s="13"/>
      <c r="B77" s="13"/>
      <c r="C77" s="13"/>
      <c r="D77" s="13"/>
      <c r="E77" s="13"/>
      <c r="F77" s="13"/>
      <c r="G77" s="13"/>
      <c r="H77" s="13"/>
      <c r="I77" s="13"/>
    </row>
    <row r="78" spans="1:9" ht="16.5">
      <c r="A78" s="13"/>
      <c r="B78" s="13"/>
      <c r="C78" s="13"/>
      <c r="D78" s="13"/>
      <c r="E78" s="13"/>
      <c r="F78" s="13"/>
      <c r="G78" s="13"/>
      <c r="H78" s="13"/>
      <c r="I78" s="13"/>
    </row>
    <row r="79" spans="1:9" ht="16.5">
      <c r="A79" s="13"/>
      <c r="B79" s="13"/>
      <c r="C79" s="13"/>
      <c r="D79" s="13"/>
      <c r="E79" s="13"/>
      <c r="F79" s="13"/>
      <c r="G79" s="13"/>
      <c r="H79" s="13"/>
      <c r="I79" s="13"/>
    </row>
    <row r="80" spans="1:9" ht="16.5">
      <c r="A80" s="13"/>
      <c r="B80" s="13"/>
      <c r="C80" s="13"/>
      <c r="D80" s="13"/>
      <c r="E80" s="13"/>
      <c r="F80" s="13"/>
      <c r="G80" s="13"/>
      <c r="H80" s="13"/>
      <c r="I80" s="13"/>
    </row>
    <row r="81" spans="1:9" ht="16.5">
      <c r="A81" s="13"/>
      <c r="B81" s="13"/>
      <c r="C81" s="13"/>
      <c r="D81" s="13"/>
      <c r="E81" s="13"/>
      <c r="F81" s="13"/>
      <c r="G81" s="13"/>
      <c r="H81" s="13"/>
      <c r="I81" s="13"/>
    </row>
    <row r="82" spans="1:9" ht="16.5">
      <c r="A82" s="13"/>
      <c r="B82" s="13"/>
      <c r="C82" s="13"/>
      <c r="D82" s="13"/>
      <c r="E82" s="13"/>
      <c r="F82" s="13"/>
      <c r="G82" s="13"/>
      <c r="H82" s="13"/>
      <c r="I82" s="13"/>
    </row>
    <row r="83" spans="1:9" ht="16.5">
      <c r="A83" s="13"/>
      <c r="B83" s="13"/>
      <c r="C83" s="13"/>
      <c r="D83" s="13"/>
      <c r="E83" s="13"/>
      <c r="F83" s="13"/>
      <c r="G83" s="13"/>
      <c r="H83" s="13"/>
      <c r="I83" s="13"/>
    </row>
    <row r="84" spans="1:9" ht="16.5">
      <c r="A84" s="13"/>
      <c r="B84" s="13"/>
      <c r="C84" s="13"/>
      <c r="D84" s="13"/>
      <c r="E84" s="13"/>
      <c r="F84" s="13"/>
      <c r="G84" s="13"/>
      <c r="H84" s="13"/>
      <c r="I84" s="13"/>
    </row>
    <row r="85" spans="1:9" ht="16.5">
      <c r="A85" s="13"/>
      <c r="B85" s="13"/>
      <c r="C85" s="13"/>
      <c r="D85" s="13"/>
      <c r="E85" s="13"/>
      <c r="F85" s="13"/>
      <c r="G85" s="13"/>
      <c r="H85" s="13"/>
      <c r="I85" s="13"/>
    </row>
    <row r="86" spans="1:9" ht="16.5">
      <c r="A86" s="13"/>
      <c r="B86" s="13"/>
      <c r="C86" s="13"/>
      <c r="D86" s="13"/>
      <c r="E86" s="13"/>
      <c r="F86" s="13"/>
      <c r="G86" s="13"/>
      <c r="H86" s="13"/>
      <c r="I86" s="13"/>
    </row>
    <row r="87" spans="1:9" ht="16.5">
      <c r="A87" s="13"/>
      <c r="B87" s="13"/>
      <c r="C87" s="13"/>
      <c r="D87" s="13"/>
      <c r="E87" s="13"/>
      <c r="F87" s="13"/>
      <c r="G87" s="13"/>
      <c r="H87" s="13"/>
      <c r="I87" s="13"/>
    </row>
    <row r="88" spans="1:9" ht="16.5">
      <c r="A88" s="13"/>
      <c r="B88" s="13"/>
      <c r="C88" s="13"/>
      <c r="D88" s="13"/>
      <c r="E88" s="13"/>
      <c r="F88" s="13"/>
      <c r="G88" s="13"/>
      <c r="H88" s="13"/>
      <c r="I88" s="13"/>
    </row>
    <row r="89" spans="1:9" ht="16.5">
      <c r="A89" s="13"/>
      <c r="B89" s="13"/>
      <c r="C89" s="13"/>
      <c r="D89" s="13"/>
      <c r="E89" s="13"/>
      <c r="F89" s="13"/>
      <c r="G89" s="13"/>
      <c r="H89" s="13"/>
      <c r="I89" s="13"/>
    </row>
    <row r="90" spans="1:9" ht="16.5">
      <c r="A90" s="13"/>
      <c r="B90" s="13"/>
      <c r="C90" s="13"/>
      <c r="D90" s="13"/>
      <c r="E90" s="13"/>
      <c r="F90" s="13"/>
      <c r="G90" s="13"/>
      <c r="H90" s="13"/>
      <c r="I90" s="13"/>
    </row>
    <row r="91" spans="1:9" ht="16.5">
      <c r="A91" s="13"/>
      <c r="B91" s="13"/>
      <c r="C91" s="13"/>
      <c r="D91" s="13"/>
      <c r="E91" s="13"/>
      <c r="F91" s="13"/>
      <c r="G91" s="13"/>
      <c r="H91" s="13"/>
      <c r="I91" s="13"/>
    </row>
    <row r="92" spans="1:9" ht="16.5">
      <c r="A92" s="13"/>
      <c r="B92" s="13"/>
      <c r="C92" s="13"/>
      <c r="D92" s="13"/>
      <c r="E92" s="13"/>
      <c r="F92" s="13"/>
      <c r="G92" s="13"/>
      <c r="H92" s="13"/>
      <c r="I92" s="13"/>
    </row>
    <row r="93" spans="1:9" ht="16.5">
      <c r="A93" s="13"/>
      <c r="B93" s="13"/>
      <c r="C93" s="13"/>
      <c r="D93" s="13"/>
      <c r="E93" s="13"/>
      <c r="F93" s="13"/>
      <c r="G93" s="13"/>
      <c r="H93" s="13"/>
      <c r="I93" s="13"/>
    </row>
    <row r="94" spans="1:9" ht="16.5">
      <c r="A94" s="13"/>
      <c r="B94" s="13"/>
      <c r="C94" s="13"/>
      <c r="D94" s="13"/>
      <c r="E94" s="13"/>
      <c r="F94" s="13"/>
      <c r="G94" s="13"/>
      <c r="H94" s="13"/>
      <c r="I94" s="13"/>
    </row>
    <row r="95" spans="1:9" ht="16.5">
      <c r="A95" s="13"/>
      <c r="B95" s="13"/>
      <c r="C95" s="13"/>
      <c r="D95" s="13"/>
      <c r="E95" s="13"/>
      <c r="F95" s="13"/>
      <c r="G95" s="13"/>
      <c r="H95" s="13"/>
      <c r="I95" s="13"/>
    </row>
    <row r="96" spans="1:9" ht="16.5">
      <c r="A96" s="13"/>
      <c r="B96" s="13"/>
      <c r="C96" s="13"/>
      <c r="D96" s="13"/>
      <c r="E96" s="13"/>
      <c r="F96" s="13"/>
      <c r="G96" s="13"/>
      <c r="H96" s="13"/>
      <c r="I96" s="13"/>
    </row>
    <row r="97" spans="1:9" ht="16.5">
      <c r="A97" s="13"/>
      <c r="B97" s="13"/>
      <c r="C97" s="13"/>
      <c r="D97" s="13"/>
      <c r="E97" s="13"/>
      <c r="F97" s="13"/>
      <c r="G97" s="13"/>
      <c r="H97" s="13"/>
      <c r="I97" s="13"/>
    </row>
    <row r="98" spans="1:9" ht="16.5">
      <c r="A98" s="13"/>
      <c r="B98" s="13"/>
      <c r="C98" s="13"/>
      <c r="D98" s="13"/>
      <c r="E98" s="13"/>
      <c r="F98" s="13"/>
      <c r="G98" s="13"/>
      <c r="H98" s="13"/>
      <c r="I98" s="13"/>
    </row>
    <row r="99" spans="1:9" ht="16.5">
      <c r="A99" s="13"/>
      <c r="B99" s="13"/>
      <c r="C99" s="13"/>
      <c r="D99" s="13"/>
      <c r="E99" s="13"/>
      <c r="F99" s="13"/>
      <c r="G99" s="13"/>
      <c r="H99" s="13"/>
      <c r="I99" s="13"/>
    </row>
    <row r="100" spans="1:9" ht="16.5">
      <c r="A100" s="13"/>
      <c r="B100" s="13"/>
      <c r="C100" s="13"/>
      <c r="D100" s="13"/>
      <c r="E100" s="13"/>
      <c r="F100" s="13"/>
      <c r="G100" s="13"/>
      <c r="H100" s="13"/>
      <c r="I100" s="13"/>
    </row>
    <row r="101" spans="1:9" ht="16.5">
      <c r="A101" s="13"/>
      <c r="B101" s="13"/>
      <c r="C101" s="13"/>
      <c r="D101" s="13"/>
      <c r="E101" s="13"/>
      <c r="F101" s="13"/>
      <c r="G101" s="13"/>
      <c r="H101" s="13"/>
      <c r="I101" s="13"/>
    </row>
    <row r="102" spans="1:9" ht="16.5">
      <c r="A102" s="13"/>
      <c r="B102" s="13"/>
      <c r="C102" s="13"/>
      <c r="D102" s="13"/>
      <c r="E102" s="13"/>
      <c r="F102" s="13"/>
      <c r="G102" s="13"/>
      <c r="H102" s="13"/>
      <c r="I102" s="13"/>
    </row>
    <row r="103" spans="1:9" ht="16.5">
      <c r="A103" s="13"/>
      <c r="B103" s="13"/>
      <c r="C103" s="13"/>
      <c r="D103" s="13"/>
      <c r="E103" s="13"/>
      <c r="F103" s="13"/>
      <c r="G103" s="13"/>
      <c r="H103" s="13"/>
      <c r="I103" s="13"/>
    </row>
    <row r="104" spans="1:9" ht="16.5">
      <c r="A104" s="13"/>
      <c r="B104" s="13"/>
      <c r="C104" s="13"/>
      <c r="D104" s="13"/>
      <c r="E104" s="13"/>
      <c r="F104" s="13"/>
      <c r="G104" s="13"/>
      <c r="H104" s="13"/>
      <c r="I104" s="13"/>
    </row>
    <row r="105" spans="1:9" ht="16.5">
      <c r="A105" s="13"/>
      <c r="B105" s="13"/>
      <c r="C105" s="13"/>
      <c r="D105" s="13"/>
      <c r="E105" s="13"/>
      <c r="F105" s="13"/>
      <c r="G105" s="13"/>
      <c r="H105" s="13"/>
      <c r="I105" s="13"/>
    </row>
    <row r="106" spans="1:9" ht="16.5">
      <c r="A106" s="13"/>
      <c r="B106" s="13"/>
      <c r="C106" s="13"/>
      <c r="D106" s="13"/>
      <c r="E106" s="13"/>
      <c r="F106" s="13"/>
      <c r="G106" s="13"/>
      <c r="H106" s="13"/>
      <c r="I106" s="13"/>
    </row>
  </sheetData>
  <pageMargins left="0.25" right="0.25" top="0.75" bottom="0.75" header="0.3" footer="0.3"/>
  <pageSetup scale="4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7DB25-4105-4ECC-8655-31692C149FA3}">
  <sheetPr>
    <tabColor rgb="FF92D050"/>
    <pageSetUpPr fitToPage="1"/>
  </sheetPr>
  <dimension ref="A1:J84"/>
  <sheetViews>
    <sheetView view="pageBreakPreview" topLeftCell="A14" zoomScale="60" zoomScaleNormal="80" workbookViewId="0">
      <selection activeCell="B54" sqref="B54"/>
    </sheetView>
  </sheetViews>
  <sheetFormatPr defaultRowHeight="15"/>
  <cols>
    <col min="1" max="1" width="78.140625" customWidth="1"/>
    <col min="2" max="2" width="21.7109375" customWidth="1"/>
    <col min="3" max="3" width="24.5703125" customWidth="1"/>
    <col min="4" max="4" width="29.42578125" customWidth="1"/>
    <col min="5" max="5" width="30.5703125" customWidth="1"/>
    <col min="6" max="6" width="32.140625" customWidth="1"/>
    <col min="7" max="7" width="27" customWidth="1"/>
    <col min="8" max="8" width="13.7109375" customWidth="1"/>
    <col min="9" max="9" width="13.85546875" customWidth="1"/>
    <col min="10" max="11" width="14.140625" bestFit="1" customWidth="1"/>
  </cols>
  <sheetData>
    <row r="1" spans="1:10" ht="26.25">
      <c r="A1" s="25" t="s">
        <v>1</v>
      </c>
      <c r="B1" s="25"/>
      <c r="C1" s="25"/>
      <c r="D1" s="13"/>
      <c r="E1" s="13"/>
      <c r="F1" s="13"/>
      <c r="G1" s="13"/>
      <c r="H1" s="13"/>
      <c r="I1" s="13"/>
      <c r="J1" s="13"/>
    </row>
    <row r="2" spans="1:10" ht="17.25">
      <c r="A2" s="26" t="s">
        <v>9</v>
      </c>
      <c r="B2" s="26"/>
      <c r="C2" s="26"/>
      <c r="D2" s="13"/>
      <c r="E2" s="13"/>
      <c r="F2" s="13"/>
      <c r="G2" s="13"/>
      <c r="H2" s="13"/>
      <c r="I2" s="13"/>
      <c r="J2" s="13"/>
    </row>
    <row r="3" spans="1:10" ht="16.5">
      <c r="A3" s="27" t="s">
        <v>81</v>
      </c>
      <c r="B3" s="27"/>
      <c r="C3" s="27"/>
      <c r="D3" s="13"/>
      <c r="E3" s="13"/>
      <c r="F3" s="13"/>
      <c r="G3" s="13"/>
      <c r="H3" s="13"/>
      <c r="I3" s="13"/>
      <c r="J3" s="13"/>
    </row>
    <row r="4" spans="1:10" ht="16.5">
      <c r="A4" s="27"/>
      <c r="B4" s="27"/>
      <c r="C4" s="27"/>
      <c r="D4" s="13"/>
      <c r="E4" s="13"/>
      <c r="F4" s="13"/>
      <c r="G4" s="13"/>
      <c r="H4" s="13"/>
      <c r="I4" s="13"/>
      <c r="J4" s="13"/>
    </row>
    <row r="5" spans="1:10" ht="17.25" thickBot="1">
      <c r="A5" s="13"/>
      <c r="B5" s="13"/>
      <c r="C5" s="13"/>
      <c r="D5" s="13"/>
      <c r="E5" s="13"/>
      <c r="F5" s="13"/>
      <c r="G5" s="13"/>
      <c r="H5" s="28" t="s">
        <v>0</v>
      </c>
      <c r="I5" s="28"/>
      <c r="J5" s="13"/>
    </row>
    <row r="6" spans="1:10" ht="21" thickBot="1">
      <c r="A6" s="29" t="str">
        <f>+'S&amp;D'!A12</f>
        <v>Natural Gas Utility Distribution</v>
      </c>
      <c r="B6" s="13"/>
      <c r="C6" s="13"/>
      <c r="D6" s="30"/>
      <c r="E6" s="30"/>
      <c r="F6" s="30"/>
      <c r="G6" s="13"/>
      <c r="H6" s="13"/>
      <c r="I6" s="13"/>
      <c r="J6" s="13"/>
    </row>
    <row r="7" spans="1:10" ht="26.25">
      <c r="B7" s="32"/>
      <c r="C7" s="32"/>
      <c r="D7" s="13"/>
      <c r="E7" s="33" t="s">
        <v>234</v>
      </c>
      <c r="F7" s="13"/>
      <c r="G7" s="13"/>
      <c r="H7" s="13"/>
      <c r="I7" s="13"/>
      <c r="J7" s="13"/>
    </row>
    <row r="8" spans="1:10" ht="21" thickBot="1">
      <c r="A8" s="32"/>
      <c r="B8" s="32"/>
      <c r="C8" s="32"/>
      <c r="D8" s="30"/>
      <c r="E8" s="38" t="s">
        <v>95</v>
      </c>
      <c r="F8" s="30"/>
      <c r="G8" s="13"/>
      <c r="H8" s="13"/>
      <c r="I8" s="13"/>
      <c r="J8" s="13"/>
    </row>
    <row r="9" spans="1:10" ht="20.25">
      <c r="A9" s="32"/>
      <c r="B9" s="32"/>
      <c r="C9" s="32"/>
      <c r="D9" s="13"/>
      <c r="E9" s="36"/>
      <c r="F9" s="13"/>
      <c r="G9" s="13"/>
      <c r="H9" s="13"/>
      <c r="I9" s="13"/>
      <c r="J9" s="13"/>
    </row>
    <row r="10" spans="1:10" ht="20.25">
      <c r="A10" s="32"/>
      <c r="B10" s="32"/>
      <c r="H10" s="13"/>
      <c r="I10" s="13"/>
      <c r="J10" s="13"/>
    </row>
    <row r="11" spans="1:10" ht="20.25">
      <c r="A11" s="32"/>
      <c r="B11" s="32"/>
      <c r="H11" s="13"/>
      <c r="I11" s="13"/>
      <c r="J11" s="13"/>
    </row>
    <row r="12" spans="1:10" ht="30" customHeight="1" thickBot="1">
      <c r="A12" s="32"/>
      <c r="B12" s="32"/>
      <c r="C12" t="s">
        <v>0</v>
      </c>
      <c r="H12" s="13"/>
      <c r="I12" s="13"/>
      <c r="J12" s="13"/>
    </row>
    <row r="13" spans="1:10" ht="26.25" customHeight="1" thickBot="1">
      <c r="A13" s="174" t="s">
        <v>251</v>
      </c>
      <c r="B13" s="13" t="s">
        <v>0</v>
      </c>
      <c r="C13" s="13"/>
      <c r="D13" s="13"/>
      <c r="E13" s="13"/>
      <c r="F13" s="13"/>
      <c r="G13" s="13"/>
      <c r="H13" s="13"/>
      <c r="I13" s="13"/>
      <c r="J13" s="13"/>
    </row>
    <row r="14" spans="1:10" ht="42" customHeight="1" thickBot="1">
      <c r="A14" s="173" t="s">
        <v>249</v>
      </c>
      <c r="B14" s="172" t="s">
        <v>240</v>
      </c>
      <c r="C14" s="171" t="s">
        <v>252</v>
      </c>
      <c r="D14" s="172" t="s">
        <v>242</v>
      </c>
      <c r="E14" s="172" t="s">
        <v>463</v>
      </c>
      <c r="F14" s="170" t="s">
        <v>241</v>
      </c>
      <c r="G14" s="13"/>
      <c r="H14" s="13"/>
      <c r="I14" s="13"/>
      <c r="J14" s="13"/>
    </row>
    <row r="15" spans="1:10" ht="16.5">
      <c r="A15" s="167"/>
      <c r="B15" s="120"/>
      <c r="C15" s="120"/>
      <c r="D15" s="120"/>
      <c r="E15" s="120"/>
      <c r="F15" s="168"/>
      <c r="G15" s="13"/>
      <c r="H15" s="13"/>
      <c r="I15" s="13"/>
      <c r="J15" s="13"/>
    </row>
    <row r="16" spans="1:10" ht="17.25">
      <c r="A16" s="212" t="s">
        <v>466</v>
      </c>
      <c r="B16" s="226">
        <v>3.3799999999999997E-2</v>
      </c>
      <c r="C16" s="223">
        <f>+'Beta for CAPM'!I34</f>
        <v>0.88</v>
      </c>
      <c r="D16" s="213">
        <f>+B16*C16</f>
        <v>2.9743999999999996E-2</v>
      </c>
      <c r="E16" s="213">
        <v>4.1399999999999999E-2</v>
      </c>
      <c r="F16" s="214">
        <f>+D16+E16</f>
        <v>7.1143999999999999E-2</v>
      </c>
      <c r="G16" s="13"/>
      <c r="H16" s="13"/>
      <c r="I16" s="13"/>
      <c r="J16" s="13"/>
    </row>
    <row r="17" spans="1:10" ht="17.25">
      <c r="A17" s="212" t="s">
        <v>467</v>
      </c>
      <c r="B17" s="226">
        <v>4.6699999999999998E-2</v>
      </c>
      <c r="C17" s="223">
        <f>+C16</f>
        <v>0.88</v>
      </c>
      <c r="D17" s="213">
        <f>+B17*C17</f>
        <v>4.1096000000000001E-2</v>
      </c>
      <c r="E17" s="213">
        <v>4.1399999999999999E-2</v>
      </c>
      <c r="F17" s="214">
        <f>+D17+E17</f>
        <v>8.2496E-2</v>
      </c>
      <c r="G17" s="13"/>
      <c r="H17" s="13"/>
      <c r="I17" s="13"/>
      <c r="J17" s="13"/>
    </row>
    <row r="18" spans="1:10" ht="17.25">
      <c r="A18" s="215"/>
      <c r="B18" s="114"/>
      <c r="C18" s="114"/>
      <c r="D18" s="114"/>
      <c r="E18" s="114"/>
      <c r="F18" s="216"/>
      <c r="G18" s="13"/>
      <c r="H18" s="13"/>
      <c r="I18" s="13"/>
      <c r="J18" s="13"/>
    </row>
    <row r="19" spans="1:10" ht="17.25">
      <c r="A19" s="212" t="s">
        <v>492</v>
      </c>
      <c r="B19" s="226">
        <v>5.9400000000000001E-2</v>
      </c>
      <c r="C19" s="223">
        <f>+C16</f>
        <v>0.88</v>
      </c>
      <c r="D19" s="213">
        <f>+B19*C19</f>
        <v>5.2271999999999999E-2</v>
      </c>
      <c r="E19" s="213">
        <v>4.1399999999999999E-2</v>
      </c>
      <c r="F19" s="214">
        <f>+D19+E19</f>
        <v>9.3672000000000005E-2</v>
      </c>
      <c r="G19" s="13"/>
      <c r="H19" s="13"/>
      <c r="I19" s="13"/>
      <c r="J19" s="13"/>
    </row>
    <row r="20" spans="1:10" ht="17.25">
      <c r="A20" s="212" t="s">
        <v>510</v>
      </c>
      <c r="B20" s="226">
        <v>5.8500000000000003E-2</v>
      </c>
      <c r="C20" s="223">
        <f>+C16</f>
        <v>0.88</v>
      </c>
      <c r="D20" s="213">
        <f>+B20*C20</f>
        <v>5.1480000000000005E-2</v>
      </c>
      <c r="E20" s="213">
        <v>4.1399999999999999E-2</v>
      </c>
      <c r="F20" s="214">
        <f>+D20+E20</f>
        <v>9.2880000000000004E-2</v>
      </c>
      <c r="G20" s="13"/>
      <c r="H20" s="13"/>
      <c r="I20" s="13"/>
      <c r="J20" s="13"/>
    </row>
    <row r="21" spans="1:10" ht="17.25">
      <c r="A21" s="212" t="s">
        <v>493</v>
      </c>
      <c r="B21" s="226">
        <v>5.6800000000000003E-2</v>
      </c>
      <c r="C21" s="223">
        <f>+C16</f>
        <v>0.88</v>
      </c>
      <c r="D21" s="213">
        <f>+B21*C21</f>
        <v>4.9984000000000001E-2</v>
      </c>
      <c r="E21" s="213">
        <v>4.1399999999999999E-2</v>
      </c>
      <c r="F21" s="214">
        <f>+D21+E21</f>
        <v>9.1383999999999993E-2</v>
      </c>
      <c r="G21" s="13"/>
      <c r="H21" s="13"/>
      <c r="I21" s="13"/>
      <c r="J21" s="13"/>
    </row>
    <row r="22" spans="1:10" ht="17.25">
      <c r="A22" s="212" t="s">
        <v>494</v>
      </c>
      <c r="B22" s="226">
        <v>4.8300000000000003E-2</v>
      </c>
      <c r="C22" s="223">
        <f>+C16</f>
        <v>0.88</v>
      </c>
      <c r="D22" s="213">
        <f>+B22*C22</f>
        <v>4.2504E-2</v>
      </c>
      <c r="E22" s="213">
        <v>4.1399999999999999E-2</v>
      </c>
      <c r="F22" s="214">
        <f>+D22+E22</f>
        <v>8.3904000000000006E-2</v>
      </c>
      <c r="G22" s="13"/>
      <c r="H22" s="13"/>
      <c r="I22" s="13"/>
      <c r="J22" s="13"/>
    </row>
    <row r="23" spans="1:10" ht="17.25">
      <c r="A23" s="212" t="s">
        <v>0</v>
      </c>
      <c r="B23" s="226" t="s">
        <v>0</v>
      </c>
      <c r="C23" s="224" t="s">
        <v>0</v>
      </c>
      <c r="D23" s="213" t="s">
        <v>0</v>
      </c>
      <c r="E23" s="213" t="s">
        <v>0</v>
      </c>
      <c r="F23" s="214" t="s">
        <v>0</v>
      </c>
      <c r="G23" s="13"/>
      <c r="H23" s="13"/>
      <c r="I23" s="13"/>
      <c r="J23" s="13"/>
    </row>
    <row r="24" spans="1:10" ht="17.25">
      <c r="A24" s="212" t="s">
        <v>245</v>
      </c>
      <c r="B24" s="226">
        <v>4.6199999999999998E-2</v>
      </c>
      <c r="C24" s="223">
        <f>+C16</f>
        <v>0.88</v>
      </c>
      <c r="D24" s="213">
        <f>+B24*C24</f>
        <v>4.0655999999999998E-2</v>
      </c>
      <c r="E24" s="213">
        <v>4.1399999999999999E-2</v>
      </c>
      <c r="F24" s="214">
        <f>+D24+E24</f>
        <v>8.205599999999999E-2</v>
      </c>
      <c r="G24" s="13"/>
      <c r="H24" s="13"/>
      <c r="I24" s="13"/>
      <c r="J24" s="13"/>
    </row>
    <row r="25" spans="1:10" ht="17.25">
      <c r="A25" s="212" t="s">
        <v>0</v>
      </c>
      <c r="B25" s="226" t="s">
        <v>0</v>
      </c>
      <c r="C25" s="224" t="s">
        <v>0</v>
      </c>
      <c r="D25" s="213" t="s">
        <v>0</v>
      </c>
      <c r="E25" s="213" t="s">
        <v>0</v>
      </c>
      <c r="F25" s="214" t="s">
        <v>0</v>
      </c>
      <c r="G25" s="13"/>
      <c r="H25" s="13"/>
      <c r="I25" s="13"/>
      <c r="J25" s="13"/>
    </row>
    <row r="26" spans="1:10" ht="17.25">
      <c r="A26" s="212" t="s">
        <v>511</v>
      </c>
      <c r="B26" s="226">
        <v>5.6000000000000001E-2</v>
      </c>
      <c r="C26" s="223">
        <f>+C16</f>
        <v>0.88</v>
      </c>
      <c r="D26" s="213">
        <f>+B26*C26</f>
        <v>4.9280000000000004E-2</v>
      </c>
      <c r="E26" s="213">
        <v>4.1399999999999999E-2</v>
      </c>
      <c r="F26" s="214">
        <f>+D26+E26</f>
        <v>9.0680000000000011E-2</v>
      </c>
      <c r="G26" s="13"/>
      <c r="H26" s="13"/>
      <c r="I26" s="13"/>
      <c r="J26" s="13"/>
    </row>
    <row r="27" spans="1:10" ht="17.25">
      <c r="A27" s="212" t="s">
        <v>0</v>
      </c>
      <c r="B27" s="226" t="s">
        <v>0</v>
      </c>
      <c r="C27" s="224" t="s">
        <v>0</v>
      </c>
      <c r="D27" s="213" t="s">
        <v>0</v>
      </c>
      <c r="E27" s="213" t="s">
        <v>0</v>
      </c>
      <c r="F27" s="214" t="s">
        <v>0</v>
      </c>
      <c r="G27" s="13"/>
      <c r="H27" s="13"/>
      <c r="I27" s="13"/>
      <c r="J27" s="13"/>
    </row>
    <row r="28" spans="1:10" ht="17.25">
      <c r="A28" s="212" t="s">
        <v>246</v>
      </c>
      <c r="B28" s="226">
        <v>6.2799999999999995E-2</v>
      </c>
      <c r="C28" s="223">
        <f>+C16</f>
        <v>0.88</v>
      </c>
      <c r="D28" s="213">
        <f>+B28*C28</f>
        <v>5.5263999999999994E-2</v>
      </c>
      <c r="E28" s="213">
        <v>4.1399999999999999E-2</v>
      </c>
      <c r="F28" s="214">
        <f>+D28+E28</f>
        <v>9.6664E-2</v>
      </c>
      <c r="G28" s="13"/>
      <c r="H28" s="13"/>
      <c r="I28" s="13"/>
      <c r="J28" s="13"/>
    </row>
    <row r="29" spans="1:10" ht="17.25">
      <c r="A29" s="212" t="s">
        <v>247</v>
      </c>
      <c r="B29" s="226">
        <v>5.0099999999999999E-2</v>
      </c>
      <c r="C29" s="223">
        <f>+C16</f>
        <v>0.88</v>
      </c>
      <c r="D29" s="213">
        <f>+B29*C29</f>
        <v>4.4088000000000002E-2</v>
      </c>
      <c r="E29" s="213">
        <v>4.1399999999999999E-2</v>
      </c>
      <c r="F29" s="214">
        <f>+D29+E29</f>
        <v>8.5488000000000008E-2</v>
      </c>
      <c r="G29" s="13"/>
      <c r="H29" s="13"/>
      <c r="I29" s="13"/>
      <c r="J29" s="13"/>
    </row>
    <row r="30" spans="1:10" ht="17.25">
      <c r="A30" s="212"/>
      <c r="B30" s="226"/>
      <c r="C30" s="223"/>
      <c r="D30" s="213"/>
      <c r="E30" s="213"/>
      <c r="F30" s="214"/>
      <c r="G30" s="13"/>
      <c r="H30" s="13"/>
      <c r="I30" s="13"/>
      <c r="J30" s="13"/>
    </row>
    <row r="31" spans="1:10" ht="17.25">
      <c r="A31" s="212" t="s">
        <v>495</v>
      </c>
      <c r="B31" s="226">
        <v>7.17E-2</v>
      </c>
      <c r="C31" s="223">
        <f>+C16</f>
        <v>0.88</v>
      </c>
      <c r="D31" s="213">
        <f>+B31*C31</f>
        <v>6.3095999999999999E-2</v>
      </c>
      <c r="E31" s="213">
        <v>4.1399999999999999E-2</v>
      </c>
      <c r="F31" s="214">
        <f>+D31+E31</f>
        <v>0.10449600000000001</v>
      </c>
      <c r="G31" s="13"/>
      <c r="H31" s="13"/>
      <c r="I31" s="13"/>
      <c r="J31" s="13"/>
    </row>
    <row r="32" spans="1:10" ht="17.25">
      <c r="A32" s="212" t="s">
        <v>496</v>
      </c>
      <c r="B32" s="226">
        <v>6.3500000000000001E-2</v>
      </c>
      <c r="C32" s="223">
        <f>+C16</f>
        <v>0.88</v>
      </c>
      <c r="D32" s="213">
        <f>+B32*C32</f>
        <v>5.5879999999999999E-2</v>
      </c>
      <c r="E32" s="213">
        <v>4.1399999999999999E-2</v>
      </c>
      <c r="F32" s="214">
        <f>+D32+E32</f>
        <v>9.7280000000000005E-2</v>
      </c>
      <c r="G32" s="13"/>
      <c r="H32" s="13"/>
      <c r="I32" s="13"/>
      <c r="J32" s="13"/>
    </row>
    <row r="33" spans="1:10" ht="17.25">
      <c r="A33" s="212" t="s">
        <v>497</v>
      </c>
      <c r="B33" s="226">
        <v>0.06</v>
      </c>
      <c r="C33" s="223">
        <f>+C16</f>
        <v>0.88</v>
      </c>
      <c r="D33" s="213">
        <f>+B33*C33</f>
        <v>5.28E-2</v>
      </c>
      <c r="E33" s="213">
        <v>4.1399999999999999E-2</v>
      </c>
      <c r="F33" s="214">
        <f>+D33+E33</f>
        <v>9.4200000000000006E-2</v>
      </c>
      <c r="G33" s="13"/>
      <c r="H33" s="13"/>
      <c r="I33" s="13"/>
      <c r="J33" s="13"/>
    </row>
    <row r="34" spans="1:10" ht="17.25">
      <c r="A34" s="212"/>
      <c r="B34" s="226"/>
      <c r="C34" s="223"/>
      <c r="D34" s="213"/>
      <c r="E34" s="213"/>
      <c r="F34" s="214"/>
      <c r="G34" s="13"/>
      <c r="H34" s="13"/>
      <c r="I34" s="13"/>
      <c r="J34" s="13"/>
    </row>
    <row r="35" spans="1:10" ht="17.25">
      <c r="A35" s="212" t="s">
        <v>480</v>
      </c>
      <c r="B35" s="226">
        <v>0.06</v>
      </c>
      <c r="C35" s="223">
        <f>+C16</f>
        <v>0.88</v>
      </c>
      <c r="D35" s="213">
        <f>+B35*C35</f>
        <v>5.28E-2</v>
      </c>
      <c r="E35" s="213">
        <v>4.1399999999999999E-2</v>
      </c>
      <c r="F35" s="214">
        <f>+D35+E35</f>
        <v>9.4200000000000006E-2</v>
      </c>
      <c r="G35" s="13"/>
      <c r="H35" s="13"/>
      <c r="I35" s="13"/>
      <c r="J35" s="13"/>
    </row>
    <row r="36" spans="1:10" ht="17.25" thickBot="1">
      <c r="A36" s="433"/>
      <c r="B36" s="30"/>
      <c r="C36" s="30"/>
      <c r="D36" s="30"/>
      <c r="E36" s="30"/>
      <c r="F36" s="434"/>
      <c r="G36" s="13"/>
      <c r="H36" s="13"/>
      <c r="I36" s="13"/>
      <c r="J36" s="13"/>
    </row>
    <row r="37" spans="1:10" ht="16.5">
      <c r="A37" s="13"/>
      <c r="B37" s="13"/>
      <c r="C37" s="13"/>
      <c r="D37" s="13"/>
      <c r="E37" s="13"/>
      <c r="F37" s="13"/>
      <c r="G37" s="13"/>
      <c r="H37" s="13"/>
      <c r="I37" s="13"/>
      <c r="J37" s="13"/>
    </row>
    <row r="38" spans="1:10" ht="27" customHeight="1" thickBot="1">
      <c r="A38" s="13"/>
      <c r="B38" s="13"/>
      <c r="C38" s="13"/>
      <c r="D38" s="13"/>
      <c r="E38" s="13"/>
      <c r="F38" s="13"/>
      <c r="G38" s="13" t="s">
        <v>0</v>
      </c>
      <c r="H38" s="13"/>
      <c r="I38" s="13"/>
      <c r="J38" s="13"/>
    </row>
    <row r="39" spans="1:10" ht="18" thickBot="1">
      <c r="A39" s="174" t="s">
        <v>250</v>
      </c>
      <c r="B39" s="13"/>
      <c r="C39" s="13"/>
      <c r="D39" s="13"/>
      <c r="E39" s="13"/>
      <c r="F39" s="13"/>
      <c r="G39" s="13"/>
      <c r="H39" s="13"/>
      <c r="I39" s="13"/>
      <c r="J39" s="13"/>
    </row>
    <row r="40" spans="1:10" ht="41.25" thickBot="1">
      <c r="A40" s="173" t="s">
        <v>248</v>
      </c>
      <c r="B40" s="172" t="s">
        <v>240</v>
      </c>
      <c r="C40" s="171" t="s">
        <v>252</v>
      </c>
      <c r="D40" s="172" t="s">
        <v>243</v>
      </c>
      <c r="E40" s="172" t="s">
        <v>244</v>
      </c>
      <c r="F40" s="172" t="s">
        <v>463</v>
      </c>
      <c r="G40" s="170" t="s">
        <v>241</v>
      </c>
      <c r="H40" s="13"/>
      <c r="I40" s="13"/>
      <c r="J40" s="13"/>
    </row>
    <row r="41" spans="1:10" ht="16.5">
      <c r="A41" s="167"/>
      <c r="B41" s="120"/>
      <c r="C41" s="120"/>
      <c r="D41" s="120"/>
      <c r="E41" s="120"/>
      <c r="F41" s="120"/>
      <c r="G41" s="168"/>
      <c r="H41" s="13"/>
      <c r="I41" s="13"/>
      <c r="J41" s="13"/>
    </row>
    <row r="42" spans="1:10" ht="17.25">
      <c r="A42" s="212" t="s">
        <v>466</v>
      </c>
      <c r="B42" s="226">
        <f>+B16</f>
        <v>3.3799999999999997E-2</v>
      </c>
      <c r="C42" s="222">
        <f>+C16</f>
        <v>0.88</v>
      </c>
      <c r="D42" s="213">
        <f>+B42*C42*0.75</f>
        <v>2.2307999999999998E-2</v>
      </c>
      <c r="E42" s="226">
        <f>+B42*0.25</f>
        <v>8.4499999999999992E-3</v>
      </c>
      <c r="F42" s="213">
        <f>+E16</f>
        <v>4.1399999999999999E-2</v>
      </c>
      <c r="G42" s="214">
        <f>+D42+E42+F42</f>
        <v>7.2158E-2</v>
      </c>
      <c r="H42" s="13"/>
      <c r="I42" s="13"/>
      <c r="J42" s="13"/>
    </row>
    <row r="43" spans="1:10" ht="17.25">
      <c r="A43" s="212" t="s">
        <v>467</v>
      </c>
      <c r="B43" s="226">
        <f>+B17</f>
        <v>4.6699999999999998E-2</v>
      </c>
      <c r="C43" s="222">
        <f>+C17</f>
        <v>0.88</v>
      </c>
      <c r="D43" s="213">
        <f>+B43*C43*0.75</f>
        <v>3.0822000000000002E-2</v>
      </c>
      <c r="E43" s="226">
        <f>+B43*0.25</f>
        <v>1.1675E-2</v>
      </c>
      <c r="F43" s="213">
        <f>+E17</f>
        <v>4.1399999999999999E-2</v>
      </c>
      <c r="G43" s="214">
        <f>+D43+E43+F43</f>
        <v>8.3896999999999999E-2</v>
      </c>
      <c r="H43" s="13"/>
      <c r="I43" s="13"/>
      <c r="J43" s="13"/>
    </row>
    <row r="44" spans="1:10" ht="17.25">
      <c r="A44" s="215"/>
      <c r="B44" s="114"/>
      <c r="C44" s="114"/>
      <c r="D44" s="114"/>
      <c r="E44" s="114"/>
      <c r="F44" s="114"/>
      <c r="G44" s="216"/>
      <c r="H44" s="13"/>
      <c r="I44" s="13"/>
      <c r="J44" s="13"/>
    </row>
    <row r="45" spans="1:10" ht="17.25">
      <c r="A45" s="212" t="s">
        <v>492</v>
      </c>
      <c r="B45" s="226">
        <f>+B19</f>
        <v>5.9400000000000001E-2</v>
      </c>
      <c r="C45" s="222">
        <f>+C19</f>
        <v>0.88</v>
      </c>
      <c r="D45" s="213">
        <f>+B45*C45*0.75</f>
        <v>3.9204000000000003E-2</v>
      </c>
      <c r="E45" s="226">
        <f>+B45*0.25</f>
        <v>1.485E-2</v>
      </c>
      <c r="F45" s="213">
        <f>+E19</f>
        <v>4.1399999999999999E-2</v>
      </c>
      <c r="G45" s="214">
        <f>+D45+E45+F45</f>
        <v>9.5454000000000011E-2</v>
      </c>
      <c r="H45" s="13"/>
      <c r="I45" s="13"/>
      <c r="J45" s="13"/>
    </row>
    <row r="46" spans="1:10" ht="17.25">
      <c r="A46" s="212" t="str">
        <f>+A20</f>
        <v>Damodaran Implied ERP Ex Ante   Avg CF Yield Last 10 Yrs (3)</v>
      </c>
      <c r="B46" s="226">
        <f>+B20</f>
        <v>5.8500000000000003E-2</v>
      </c>
      <c r="C46" s="222">
        <f>+C20</f>
        <v>0.88</v>
      </c>
      <c r="D46" s="213">
        <f>+B46*C46*0.75</f>
        <v>3.8610000000000005E-2</v>
      </c>
      <c r="E46" s="226">
        <f>+B46*0.25</f>
        <v>1.4625000000000001E-2</v>
      </c>
      <c r="F46" s="213">
        <f>+E20</f>
        <v>4.1399999999999999E-2</v>
      </c>
      <c r="G46" s="214">
        <f>+D46+E46+F46</f>
        <v>9.4634999999999997E-2</v>
      </c>
      <c r="H46" s="13"/>
      <c r="I46" s="13"/>
      <c r="J46" s="13"/>
    </row>
    <row r="47" spans="1:10" ht="17.25">
      <c r="A47" s="212" t="s">
        <v>493</v>
      </c>
      <c r="B47" s="226">
        <f t="shared" ref="B47:C48" si="0">+B21</f>
        <v>5.6800000000000003E-2</v>
      </c>
      <c r="C47" s="222">
        <f t="shared" si="0"/>
        <v>0.88</v>
      </c>
      <c r="D47" s="213">
        <f>+B47*C47*0.75</f>
        <v>3.7488E-2</v>
      </c>
      <c r="E47" s="226">
        <f>+B47*0.25</f>
        <v>1.4200000000000001E-2</v>
      </c>
      <c r="F47" s="213">
        <f>+E21</f>
        <v>4.1399999999999999E-2</v>
      </c>
      <c r="G47" s="214">
        <f>+D47+E47+F47</f>
        <v>9.3088000000000004E-2</v>
      </c>
      <c r="H47" s="13"/>
      <c r="I47" s="13"/>
      <c r="J47" s="13"/>
    </row>
    <row r="48" spans="1:10" ht="17.25">
      <c r="A48" s="212" t="s">
        <v>494</v>
      </c>
      <c r="B48" s="226">
        <f t="shared" si="0"/>
        <v>4.8300000000000003E-2</v>
      </c>
      <c r="C48" s="222">
        <f t="shared" si="0"/>
        <v>0.88</v>
      </c>
      <c r="D48" s="213">
        <f>+B48*C48*0.75</f>
        <v>3.1878000000000004E-2</v>
      </c>
      <c r="E48" s="226">
        <f>+B48*0.25</f>
        <v>1.2075000000000001E-2</v>
      </c>
      <c r="F48" s="213">
        <f>+E22</f>
        <v>4.1399999999999999E-2</v>
      </c>
      <c r="G48" s="214">
        <f>+D48+E48+F48</f>
        <v>8.5353000000000012E-2</v>
      </c>
      <c r="H48" s="13"/>
      <c r="I48" s="13"/>
      <c r="J48" s="13"/>
    </row>
    <row r="49" spans="1:10" ht="17.25">
      <c r="A49" s="212" t="s">
        <v>0</v>
      </c>
      <c r="B49" s="226" t="s">
        <v>0</v>
      </c>
      <c r="C49" s="213" t="s">
        <v>0</v>
      </c>
      <c r="D49" s="213" t="s">
        <v>0</v>
      </c>
      <c r="E49" s="226" t="s">
        <v>0</v>
      </c>
      <c r="F49" s="213" t="s">
        <v>0</v>
      </c>
      <c r="G49" s="214" t="s">
        <v>0</v>
      </c>
      <c r="H49" s="13"/>
      <c r="I49" s="13"/>
      <c r="J49" s="13"/>
    </row>
    <row r="50" spans="1:10" ht="17.25">
      <c r="A50" s="212" t="s">
        <v>245</v>
      </c>
      <c r="B50" s="226">
        <f>+B24</f>
        <v>4.6199999999999998E-2</v>
      </c>
      <c r="C50" s="222">
        <f>+C24</f>
        <v>0.88</v>
      </c>
      <c r="D50" s="213">
        <f>+B50*C50*0.75</f>
        <v>3.0491999999999998E-2</v>
      </c>
      <c r="E50" s="226">
        <f>+B50*0.25</f>
        <v>1.155E-2</v>
      </c>
      <c r="F50" s="213">
        <f>+E24</f>
        <v>4.1399999999999999E-2</v>
      </c>
      <c r="G50" s="214">
        <f>+D50+E50+F50</f>
        <v>8.3441999999999988E-2</v>
      </c>
    </row>
    <row r="51" spans="1:10" ht="17.25">
      <c r="A51" s="212" t="s">
        <v>0</v>
      </c>
      <c r="B51" s="226" t="s">
        <v>0</v>
      </c>
      <c r="C51" s="213" t="s">
        <v>0</v>
      </c>
      <c r="D51" s="213" t="s">
        <v>0</v>
      </c>
      <c r="E51" s="226" t="s">
        <v>0</v>
      </c>
      <c r="F51" s="213" t="s">
        <v>0</v>
      </c>
      <c r="G51" s="214" t="s">
        <v>0</v>
      </c>
    </row>
    <row r="52" spans="1:10" ht="17.25">
      <c r="A52" s="212" t="s">
        <v>511</v>
      </c>
      <c r="B52" s="226">
        <f>+B26</f>
        <v>5.6000000000000001E-2</v>
      </c>
      <c r="C52" s="222">
        <f>+C26</f>
        <v>0.88</v>
      </c>
      <c r="D52" s="213">
        <f>+B52*C52*0.75</f>
        <v>3.6960000000000007E-2</v>
      </c>
      <c r="E52" s="226">
        <f>+B52*0.25</f>
        <v>1.4E-2</v>
      </c>
      <c r="F52" s="213">
        <f>+E26</f>
        <v>4.1399999999999999E-2</v>
      </c>
      <c r="G52" s="214">
        <f>+D52+E52+F52</f>
        <v>9.2359999999999998E-2</v>
      </c>
    </row>
    <row r="53" spans="1:10" ht="17.25">
      <c r="A53" s="212" t="s">
        <v>0</v>
      </c>
      <c r="B53" s="226" t="s">
        <v>0</v>
      </c>
      <c r="C53" s="213" t="s">
        <v>0</v>
      </c>
      <c r="D53" s="213" t="s">
        <v>0</v>
      </c>
      <c r="E53" s="226" t="s">
        <v>0</v>
      </c>
      <c r="F53" s="213" t="s">
        <v>0</v>
      </c>
      <c r="G53" s="214" t="s">
        <v>0</v>
      </c>
    </row>
    <row r="54" spans="1:10" ht="17.25">
      <c r="A54" s="212" t="s">
        <v>246</v>
      </c>
      <c r="B54" s="226">
        <f>+B28</f>
        <v>6.2799999999999995E-2</v>
      </c>
      <c r="C54" s="222">
        <f>+C28</f>
        <v>0.88</v>
      </c>
      <c r="D54" s="213">
        <f>+B54*C54*0.75</f>
        <v>4.1447999999999999E-2</v>
      </c>
      <c r="E54" s="226">
        <f>+B54*0.25</f>
        <v>1.5699999999999999E-2</v>
      </c>
      <c r="F54" s="213">
        <f>+E28</f>
        <v>4.1399999999999999E-2</v>
      </c>
      <c r="G54" s="214">
        <f>+D54+E54+F54</f>
        <v>9.8547999999999997E-2</v>
      </c>
    </row>
    <row r="55" spans="1:10" ht="17.25">
      <c r="A55" s="212" t="s">
        <v>247</v>
      </c>
      <c r="B55" s="226">
        <f>+B29</f>
        <v>5.0099999999999999E-2</v>
      </c>
      <c r="C55" s="222">
        <f>+C29</f>
        <v>0.88</v>
      </c>
      <c r="D55" s="213">
        <f>+B55*C55*0.75</f>
        <v>3.3065999999999998E-2</v>
      </c>
      <c r="E55" s="226">
        <f>+B55*0.25</f>
        <v>1.2525E-2</v>
      </c>
      <c r="F55" s="213">
        <f>+E29</f>
        <v>4.1399999999999999E-2</v>
      </c>
      <c r="G55" s="214">
        <f>+D55+E55+F55</f>
        <v>8.6990999999999999E-2</v>
      </c>
    </row>
    <row r="56" spans="1:10" ht="17.25">
      <c r="A56" s="212"/>
      <c r="B56" s="226"/>
      <c r="C56" s="222"/>
      <c r="D56" s="213"/>
      <c r="E56" s="226"/>
      <c r="F56" s="213"/>
      <c r="G56" s="214"/>
    </row>
    <row r="57" spans="1:10" ht="17.25">
      <c r="A57" s="212" t="s">
        <v>495</v>
      </c>
      <c r="B57" s="226">
        <f>+B31</f>
        <v>7.17E-2</v>
      </c>
      <c r="C57" s="222">
        <f>+C31</f>
        <v>0.88</v>
      </c>
      <c r="D57" s="213">
        <f>+B57*C57*0.75</f>
        <v>4.7322000000000003E-2</v>
      </c>
      <c r="E57" s="226">
        <f>+B57*0.25</f>
        <v>1.7925E-2</v>
      </c>
      <c r="F57" s="213">
        <f>+E31</f>
        <v>4.1399999999999999E-2</v>
      </c>
      <c r="G57" s="214">
        <f>+D57+E57+F57</f>
        <v>0.10664699999999999</v>
      </c>
    </row>
    <row r="58" spans="1:10" ht="17.25">
      <c r="A58" s="212" t="s">
        <v>496</v>
      </c>
      <c r="B58" s="226">
        <f>+B32</f>
        <v>6.3500000000000001E-2</v>
      </c>
      <c r="C58" s="222">
        <f>+C32</f>
        <v>0.88</v>
      </c>
      <c r="D58" s="213">
        <f>+B58*C58*0.75</f>
        <v>4.1910000000000003E-2</v>
      </c>
      <c r="E58" s="226">
        <f>+B58*0.25</f>
        <v>1.5875E-2</v>
      </c>
      <c r="F58" s="213">
        <f>+E32</f>
        <v>4.1399999999999999E-2</v>
      </c>
      <c r="G58" s="214">
        <f>+D58+E58+F58</f>
        <v>9.9184999999999995E-2</v>
      </c>
    </row>
    <row r="59" spans="1:10" ht="17.25">
      <c r="A59" s="212" t="s">
        <v>497</v>
      </c>
      <c r="B59" s="226">
        <f>+B33</f>
        <v>0.06</v>
      </c>
      <c r="C59" s="222">
        <f>+C29</f>
        <v>0.88</v>
      </c>
      <c r="D59" s="213">
        <f>+B59*C59*0.75</f>
        <v>3.9599999999999996E-2</v>
      </c>
      <c r="E59" s="226">
        <f>+B59*0.25</f>
        <v>1.4999999999999999E-2</v>
      </c>
      <c r="F59" s="213">
        <f>+E33</f>
        <v>4.1399999999999999E-2</v>
      </c>
      <c r="G59" s="214">
        <f>+D59+E59+F59</f>
        <v>9.6000000000000002E-2</v>
      </c>
    </row>
    <row r="60" spans="1:10" ht="17.25">
      <c r="A60" s="212"/>
      <c r="B60" s="226"/>
      <c r="C60" s="222"/>
      <c r="D60" s="213"/>
      <c r="E60" s="226"/>
      <c r="F60" s="213"/>
      <c r="G60" s="214"/>
    </row>
    <row r="61" spans="1:10" ht="17.25">
      <c r="A61" s="212" t="s">
        <v>480</v>
      </c>
      <c r="B61" s="226">
        <f>+B35</f>
        <v>0.06</v>
      </c>
      <c r="C61" s="222">
        <f>+C33</f>
        <v>0.88</v>
      </c>
      <c r="D61" s="213">
        <f>+B61*C61*0.75</f>
        <v>3.9599999999999996E-2</v>
      </c>
      <c r="E61" s="226">
        <f>+B61*0.25</f>
        <v>1.4999999999999999E-2</v>
      </c>
      <c r="F61" s="213">
        <f>+E35</f>
        <v>4.1399999999999999E-2</v>
      </c>
      <c r="G61" s="214">
        <f>+D61+E61+F61</f>
        <v>9.6000000000000002E-2</v>
      </c>
    </row>
    <row r="62" spans="1:10" ht="15.75" thickBot="1">
      <c r="A62" s="435"/>
      <c r="B62" s="165"/>
      <c r="C62" s="165"/>
      <c r="D62" s="165"/>
      <c r="E62" s="165"/>
      <c r="F62" s="165"/>
      <c r="G62" s="436"/>
    </row>
    <row r="64" spans="1:10" ht="17.25">
      <c r="A64" s="66" t="s">
        <v>91</v>
      </c>
      <c r="E64" s="225" t="s">
        <v>0</v>
      </c>
    </row>
    <row r="65" spans="1:7">
      <c r="A65" s="175" t="s">
        <v>0</v>
      </c>
      <c r="E65" s="225" t="s">
        <v>0</v>
      </c>
    </row>
    <row r="66" spans="1:7" ht="16.5">
      <c r="A66" s="45" t="s">
        <v>481</v>
      </c>
      <c r="B66" s="13"/>
      <c r="C66" s="13"/>
      <c r="D66" s="13"/>
      <c r="E66" s="13"/>
      <c r="F66" s="13"/>
      <c r="G66" s="13"/>
    </row>
    <row r="67" spans="1:7" ht="16.5">
      <c r="A67" s="45" t="s">
        <v>0</v>
      </c>
      <c r="B67" s="13"/>
      <c r="C67" s="13"/>
      <c r="D67" s="13"/>
      <c r="E67" s="13"/>
      <c r="F67" s="13"/>
      <c r="G67" s="13"/>
    </row>
    <row r="68" spans="1:7" ht="16.5">
      <c r="A68" s="45" t="s">
        <v>482</v>
      </c>
      <c r="B68" s="13"/>
      <c r="C68" s="13"/>
      <c r="D68" s="13"/>
      <c r="E68" s="13"/>
      <c r="F68" s="13"/>
      <c r="G68" s="13"/>
    </row>
    <row r="69" spans="1:7" ht="16.5">
      <c r="A69" s="162" t="s">
        <v>483</v>
      </c>
      <c r="C69" s="13"/>
      <c r="D69" s="13"/>
      <c r="E69" s="13"/>
      <c r="F69" s="13"/>
      <c r="G69" s="13"/>
    </row>
    <row r="70" spans="1:7" ht="16.5">
      <c r="A70" s="45" t="s">
        <v>0</v>
      </c>
      <c r="B70" s="13"/>
      <c r="C70" s="13"/>
      <c r="D70" s="13"/>
      <c r="E70" s="13"/>
      <c r="F70" s="13"/>
      <c r="G70" s="13"/>
    </row>
    <row r="71" spans="1:7" ht="16.5">
      <c r="A71" s="45" t="s">
        <v>513</v>
      </c>
      <c r="B71" s="13"/>
      <c r="C71" s="13"/>
      <c r="D71" s="13"/>
      <c r="E71" s="13"/>
      <c r="F71" s="13"/>
      <c r="G71" s="13"/>
    </row>
    <row r="72" spans="1:7" ht="16.5">
      <c r="A72" s="162" t="s">
        <v>484</v>
      </c>
      <c r="B72" s="13"/>
      <c r="C72" s="13"/>
      <c r="D72" s="13"/>
      <c r="E72" s="13"/>
      <c r="F72" s="13"/>
      <c r="G72" s="13"/>
    </row>
    <row r="73" spans="1:7" ht="16.5">
      <c r="A73" s="45"/>
      <c r="B73" s="13"/>
      <c r="C73" s="13"/>
      <c r="D73" s="13"/>
      <c r="E73" s="13"/>
      <c r="F73" s="13"/>
      <c r="G73" s="13"/>
    </row>
    <row r="74" spans="1:7" ht="16.5">
      <c r="A74" s="45" t="s">
        <v>512</v>
      </c>
      <c r="B74" s="13"/>
      <c r="C74" s="13"/>
      <c r="D74" s="13"/>
      <c r="E74" s="13"/>
      <c r="F74" s="13"/>
      <c r="G74" s="13"/>
    </row>
    <row r="75" spans="1:7" ht="16.5">
      <c r="A75" s="162" t="s">
        <v>485</v>
      </c>
      <c r="B75" s="13"/>
      <c r="C75" s="13"/>
      <c r="D75" s="13"/>
      <c r="E75" s="13"/>
      <c r="F75" s="13"/>
      <c r="G75" s="13"/>
    </row>
    <row r="76" spans="1:7" ht="16.5">
      <c r="A76" s="45"/>
      <c r="B76" s="13"/>
      <c r="C76" s="13"/>
      <c r="D76" s="13"/>
      <c r="E76" s="13"/>
      <c r="F76" s="13"/>
      <c r="G76" s="13"/>
    </row>
    <row r="77" spans="1:7" ht="16.5">
      <c r="A77" s="45" t="s">
        <v>403</v>
      </c>
      <c r="B77" s="13"/>
      <c r="C77" s="13"/>
      <c r="D77" s="13"/>
      <c r="E77" s="13"/>
      <c r="F77" s="13"/>
      <c r="G77" s="13"/>
    </row>
    <row r="78" spans="1:7" ht="16.5">
      <c r="A78" s="162" t="s">
        <v>486</v>
      </c>
      <c r="B78" s="13"/>
      <c r="C78" s="13"/>
      <c r="D78" s="13"/>
      <c r="E78" s="13"/>
      <c r="F78" s="13"/>
      <c r="G78" s="13"/>
    </row>
    <row r="79" spans="1:7">
      <c r="A79" s="175"/>
    </row>
    <row r="80" spans="1:7" ht="16.5">
      <c r="A80" s="45" t="s">
        <v>473</v>
      </c>
    </row>
    <row r="81" spans="1:7" ht="16.5">
      <c r="A81" s="45" t="s">
        <v>0</v>
      </c>
    </row>
    <row r="82" spans="1:7" ht="16.5">
      <c r="A82" s="45" t="s">
        <v>487</v>
      </c>
    </row>
    <row r="83" spans="1:7">
      <c r="A83" s="162" t="s">
        <v>488</v>
      </c>
    </row>
    <row r="84" spans="1:7" ht="21" thickBot="1">
      <c r="A84" s="166"/>
      <c r="B84" s="166"/>
      <c r="C84" s="166"/>
      <c r="D84" s="30"/>
      <c r="E84" s="38"/>
      <c r="F84" s="30"/>
      <c r="G84" s="165"/>
    </row>
  </sheetData>
  <hyperlinks>
    <hyperlink ref="A83" r:id="rId1" xr:uid="{4814D7B7-811D-42A3-832E-E2C7C42FCF91}"/>
    <hyperlink ref="A75" r:id="rId2" xr:uid="{FFCB6699-AE66-4C9A-9569-477258DD55EC}"/>
    <hyperlink ref="A78" r:id="rId3" xr:uid="{7C7F83C0-680E-4624-84AB-1A515F1A7312}"/>
    <hyperlink ref="A72" r:id="rId4" xr:uid="{FBED12EF-1B10-42BF-8063-B17F4D1F629C}"/>
    <hyperlink ref="A69" r:id="rId5" xr:uid="{DF29133E-79C1-407E-A85D-BBBB63D0C19C}"/>
  </hyperlinks>
  <pageMargins left="0.25" right="0.25" top="0.75" bottom="0.75" header="0.3" footer="0.3"/>
  <pageSetup scale="39" orientation="portrait"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EAA8-BBA3-479C-8851-708BD7E9A4CD}">
  <sheetPr>
    <tabColor rgb="FF92D050"/>
  </sheetPr>
  <dimension ref="A1:K50"/>
  <sheetViews>
    <sheetView view="pageBreakPreview" zoomScale="70" zoomScaleNormal="80" zoomScaleSheetLayoutView="70" workbookViewId="0">
      <selection activeCell="G3" sqref="G3"/>
    </sheetView>
  </sheetViews>
  <sheetFormatPr defaultRowHeight="15"/>
  <cols>
    <col min="1" max="1" width="45.140625" customWidth="1"/>
    <col min="2" max="2" width="10.85546875" bestFit="1" customWidth="1"/>
    <col min="3" max="3" width="26.140625" customWidth="1"/>
    <col min="4" max="4" width="15.28515625" customWidth="1"/>
    <col min="5" max="5" width="27.140625" customWidth="1"/>
    <col min="6" max="6" width="22" customWidth="1"/>
    <col min="7" max="7" width="29.28515625" customWidth="1"/>
    <col min="8" max="8" width="37" customWidth="1"/>
    <col min="9" max="9" width="24.5703125" customWidth="1"/>
    <col min="10" max="10" width="24.140625" customWidth="1"/>
    <col min="12" max="12" width="10.5703125" customWidth="1"/>
  </cols>
  <sheetData>
    <row r="1" spans="1:11" ht="26.25">
      <c r="A1" s="25" t="s">
        <v>1</v>
      </c>
      <c r="B1" s="13"/>
      <c r="C1" s="13"/>
      <c r="D1" s="13"/>
      <c r="E1" s="13"/>
      <c r="F1" s="13"/>
      <c r="G1" s="13"/>
      <c r="H1" s="13"/>
      <c r="I1" s="13"/>
      <c r="J1" s="13"/>
      <c r="K1" s="13"/>
    </row>
    <row r="2" spans="1:11" ht="17.25">
      <c r="A2" s="26" t="s">
        <v>9</v>
      </c>
      <c r="B2" s="13"/>
      <c r="C2" s="13"/>
      <c r="D2" s="13"/>
      <c r="E2" s="13"/>
      <c r="F2" s="13"/>
      <c r="G2" s="13"/>
      <c r="H2" s="13"/>
      <c r="I2" s="13"/>
      <c r="J2" s="13"/>
      <c r="K2" s="13"/>
    </row>
    <row r="3" spans="1:11" ht="16.5">
      <c r="A3" s="27" t="s">
        <v>81</v>
      </c>
      <c r="B3" s="13"/>
      <c r="C3" s="13"/>
      <c r="D3" s="13"/>
      <c r="E3" s="13"/>
      <c r="F3" s="13"/>
      <c r="G3" s="13"/>
      <c r="H3" s="13"/>
      <c r="I3" s="13"/>
      <c r="J3" s="13"/>
      <c r="K3" s="13"/>
    </row>
    <row r="4" spans="1:11" ht="16.5">
      <c r="A4" s="27"/>
      <c r="B4" s="13"/>
      <c r="C4" s="13"/>
      <c r="D4" s="13"/>
      <c r="E4" s="13"/>
      <c r="F4" s="13"/>
      <c r="G4" s="13"/>
      <c r="H4" s="13"/>
      <c r="I4" s="13"/>
      <c r="J4" s="13"/>
      <c r="K4" s="13"/>
    </row>
    <row r="5" spans="1:11" ht="17.25" thickBot="1">
      <c r="A5" s="13"/>
      <c r="B5" s="13"/>
      <c r="C5" s="13"/>
      <c r="D5" s="13"/>
      <c r="E5" s="13"/>
      <c r="F5" s="13"/>
      <c r="G5" s="13"/>
      <c r="H5" s="28"/>
      <c r="I5" s="13"/>
      <c r="J5" s="13"/>
      <c r="K5" s="13"/>
    </row>
    <row r="6" spans="1:11" ht="18" thickBot="1">
      <c r="A6" s="283" t="str">
        <f>+'S&amp;D'!A12</f>
        <v>Natural Gas Utility Distribution</v>
      </c>
      <c r="B6" s="211"/>
      <c r="C6" s="13"/>
      <c r="D6" s="30"/>
      <c r="E6" s="30"/>
      <c r="F6" s="30"/>
      <c r="G6" s="31" t="s">
        <v>0</v>
      </c>
      <c r="H6" s="30"/>
      <c r="I6" s="13"/>
      <c r="J6" s="13"/>
      <c r="K6" s="13"/>
    </row>
    <row r="7" spans="1:11" ht="26.25">
      <c r="A7" s="32"/>
      <c r="B7" s="13"/>
      <c r="C7" s="13"/>
      <c r="D7" s="13"/>
      <c r="E7" s="13"/>
      <c r="F7" s="33" t="s">
        <v>200</v>
      </c>
      <c r="G7" s="13"/>
      <c r="H7" s="13"/>
      <c r="I7" s="13"/>
      <c r="J7" s="13"/>
      <c r="K7" s="13"/>
    </row>
    <row r="8" spans="1:11" ht="21" thickBot="1">
      <c r="A8" s="32"/>
      <c r="B8" s="13"/>
      <c r="C8" s="13"/>
      <c r="D8" s="30"/>
      <c r="E8" s="30"/>
      <c r="F8" s="34" t="s">
        <v>95</v>
      </c>
      <c r="G8" s="30"/>
      <c r="H8" s="30"/>
      <c r="I8" s="13"/>
      <c r="J8" s="13"/>
      <c r="K8" s="13"/>
    </row>
    <row r="9" spans="1:11" ht="17.25" thickBot="1">
      <c r="A9" s="35" t="s">
        <v>0</v>
      </c>
      <c r="B9" s="35" t="s">
        <v>0</v>
      </c>
      <c r="C9" s="35" t="s">
        <v>0</v>
      </c>
      <c r="D9" s="30"/>
      <c r="E9" s="35"/>
      <c r="F9" s="35" t="s">
        <v>0</v>
      </c>
      <c r="G9" s="35"/>
      <c r="H9" s="30"/>
      <c r="I9" s="30"/>
      <c r="J9" s="30"/>
      <c r="K9" s="13"/>
    </row>
    <row r="10" spans="1:11" ht="16.5">
      <c r="A10" s="36" t="s">
        <v>0</v>
      </c>
      <c r="B10" s="36" t="s">
        <v>3</v>
      </c>
      <c r="C10" s="36" t="s">
        <v>5</v>
      </c>
      <c r="D10" s="36" t="s">
        <v>188</v>
      </c>
      <c r="E10" s="36" t="s">
        <v>12</v>
      </c>
      <c r="F10" s="36" t="s">
        <v>201</v>
      </c>
      <c r="G10" s="36" t="s">
        <v>202</v>
      </c>
      <c r="H10" s="36" t="s">
        <v>202</v>
      </c>
      <c r="I10" s="36" t="s">
        <v>197</v>
      </c>
      <c r="J10" s="36" t="s">
        <v>197</v>
      </c>
      <c r="K10" s="13"/>
    </row>
    <row r="11" spans="1:11" ht="16.5">
      <c r="A11" s="36" t="s">
        <v>2</v>
      </c>
      <c r="B11" s="36" t="s">
        <v>4</v>
      </c>
      <c r="C11" s="36" t="s">
        <v>6</v>
      </c>
      <c r="D11" s="36" t="s">
        <v>230</v>
      </c>
      <c r="E11" s="36" t="s">
        <v>14</v>
      </c>
      <c r="F11" s="36" t="s">
        <v>428</v>
      </c>
      <c r="G11" s="36" t="s">
        <v>231</v>
      </c>
      <c r="H11" s="36" t="s">
        <v>232</v>
      </c>
      <c r="I11" s="36" t="s">
        <v>191</v>
      </c>
      <c r="J11" s="36" t="s">
        <v>195</v>
      </c>
      <c r="K11" s="13"/>
    </row>
    <row r="12" spans="1:11" ht="16.5">
      <c r="A12" s="36"/>
      <c r="B12" s="36"/>
      <c r="C12" s="36"/>
      <c r="D12" s="36"/>
      <c r="E12" s="36"/>
      <c r="F12" s="37" t="s">
        <v>0</v>
      </c>
      <c r="G12" s="37" t="s">
        <v>429</v>
      </c>
      <c r="H12" s="37" t="s">
        <v>429</v>
      </c>
      <c r="I12" s="36"/>
      <c r="J12" s="36"/>
      <c r="K12" s="13"/>
    </row>
    <row r="13" spans="1:11" ht="17.25" thickBot="1">
      <c r="A13" s="38" t="s">
        <v>0</v>
      </c>
      <c r="B13" s="39" t="s">
        <v>110</v>
      </c>
      <c r="C13" s="39" t="s">
        <v>111</v>
      </c>
      <c r="D13" s="39" t="s">
        <v>112</v>
      </c>
      <c r="E13" s="39" t="s">
        <v>113</v>
      </c>
      <c r="F13" s="39" t="s">
        <v>114</v>
      </c>
      <c r="G13" s="39" t="s">
        <v>115</v>
      </c>
      <c r="H13" s="39" t="s">
        <v>116</v>
      </c>
      <c r="I13" s="39" t="s">
        <v>198</v>
      </c>
      <c r="J13" s="39" t="s">
        <v>199</v>
      </c>
      <c r="K13" s="13"/>
    </row>
    <row r="14" spans="1:11" ht="16.5">
      <c r="A14" s="40" t="s">
        <v>7</v>
      </c>
      <c r="B14" s="40" t="s">
        <v>7</v>
      </c>
      <c r="C14" s="40" t="s">
        <v>7</v>
      </c>
      <c r="D14" s="41" t="s">
        <v>134</v>
      </c>
      <c r="E14" s="41"/>
      <c r="F14" s="40" t="s">
        <v>7</v>
      </c>
      <c r="G14" s="40" t="s">
        <v>7</v>
      </c>
      <c r="H14" s="40" t="s">
        <v>7</v>
      </c>
      <c r="I14" s="40" t="s">
        <v>0</v>
      </c>
      <c r="J14" s="40" t="s">
        <v>0</v>
      </c>
      <c r="K14" s="13"/>
    </row>
    <row r="15" spans="1:11" ht="16.5">
      <c r="A15" s="36"/>
      <c r="B15" s="36"/>
      <c r="C15" s="36"/>
      <c r="D15" s="36"/>
      <c r="E15" s="36"/>
      <c r="F15" s="36"/>
      <c r="G15" s="36"/>
      <c r="H15" s="13"/>
      <c r="I15" s="13"/>
      <c r="J15" s="13"/>
      <c r="K15" s="13"/>
    </row>
    <row r="16" spans="1:11" ht="16.5">
      <c r="A16" s="13"/>
      <c r="B16" s="13"/>
      <c r="C16" s="13"/>
      <c r="D16" s="13"/>
      <c r="E16" s="13"/>
      <c r="F16" s="13"/>
      <c r="G16" s="13"/>
      <c r="H16" s="13"/>
      <c r="I16" s="13"/>
      <c r="J16" s="13"/>
      <c r="K16" s="13"/>
    </row>
    <row r="17" spans="1:11" ht="17.25">
      <c r="A17" s="45" t="str">
        <f>+'S&amp;D'!A22</f>
        <v>Atmos Energy Corp</v>
      </c>
      <c r="B17" s="36" t="str">
        <f>+'S&amp;D'!B22</f>
        <v>ATO</v>
      </c>
      <c r="C17" s="36" t="str">
        <f>+'S&amp;D'!C22</f>
        <v>Gas Utility</v>
      </c>
      <c r="D17" s="63">
        <f>+'S&amp;D'!G22</f>
        <v>112.07</v>
      </c>
      <c r="E17" s="64">
        <f>+'S&amp;D'!D42</f>
        <v>16043466135.269999</v>
      </c>
      <c r="F17" s="56">
        <f>+'Dividends '!H16</f>
        <v>2.6412063888641028E-2</v>
      </c>
      <c r="G17" s="56">
        <v>7.4999999999999997E-2</v>
      </c>
      <c r="H17" s="56">
        <v>7.0000000000000007E-2</v>
      </c>
      <c r="I17" s="395">
        <f>+F17+G17</f>
        <v>0.10141206388864102</v>
      </c>
      <c r="J17" s="395">
        <f>+F17+H17</f>
        <v>9.6412063888641042E-2</v>
      </c>
      <c r="K17" s="13"/>
    </row>
    <row r="18" spans="1:11" ht="17.25">
      <c r="A18" s="45" t="str">
        <f>+'S&amp;D'!A23</f>
        <v>Black Hills Corporation</v>
      </c>
      <c r="B18" s="36" t="str">
        <f>+'S&amp;D'!B23</f>
        <v>BKH</v>
      </c>
      <c r="C18" s="36" t="str">
        <f>+'S&amp;D'!C23</f>
        <v>Electric Utility - West</v>
      </c>
      <c r="D18" s="63">
        <f>+'S&amp;D'!G23</f>
        <v>70.34</v>
      </c>
      <c r="E18" s="64">
        <f>+'S&amp;D'!D43</f>
        <v>4649732147.8000002</v>
      </c>
      <c r="F18" s="56">
        <f>+'Dividends '!H17</f>
        <v>3.426215524594825E-2</v>
      </c>
      <c r="G18" s="56">
        <v>5.5E-2</v>
      </c>
      <c r="H18" s="56">
        <v>0.06</v>
      </c>
      <c r="I18" s="395">
        <f t="shared" ref="I18:I27" si="0">+F18+G18</f>
        <v>8.9262155245948244E-2</v>
      </c>
      <c r="J18" s="395">
        <f t="shared" ref="J18:J27" si="1">+F18+H18</f>
        <v>9.4262155245948248E-2</v>
      </c>
      <c r="K18" s="13"/>
    </row>
    <row r="19" spans="1:11" ht="17.25">
      <c r="A19" s="45" t="str">
        <f>+'S&amp;D'!A24</f>
        <v>CenterPoint Energy Inc.</v>
      </c>
      <c r="B19" s="36" t="str">
        <f>+'S&amp;D'!B24</f>
        <v>CNP</v>
      </c>
      <c r="C19" s="36" t="str">
        <f>+'S&amp;D'!C24</f>
        <v>Electric Utility - Central</v>
      </c>
      <c r="D19" s="63">
        <f>+'S&amp;D'!G24</f>
        <v>29.99</v>
      </c>
      <c r="E19" s="64">
        <f>+'S&amp;D'!D44</f>
        <v>18879773573.689999</v>
      </c>
      <c r="F19" s="56">
        <f>+'Dividends '!H18</f>
        <v>2.567522507502501E-2</v>
      </c>
      <c r="G19" s="56">
        <v>2.5000000000000001E-2</v>
      </c>
      <c r="H19" s="56">
        <v>6.5000000000000002E-2</v>
      </c>
      <c r="I19" s="395">
        <f t="shared" si="0"/>
        <v>5.0675225075025011E-2</v>
      </c>
      <c r="J19" s="395">
        <f t="shared" si="1"/>
        <v>9.0675225075025012E-2</v>
      </c>
      <c r="K19" s="13"/>
    </row>
    <row r="20" spans="1:11" ht="17.25">
      <c r="A20" s="45" t="str">
        <f>+'S&amp;D'!A25</f>
        <v>CMS Energy Corporation</v>
      </c>
      <c r="B20" s="36" t="str">
        <f>+'S&amp;D'!B25</f>
        <v>CMS</v>
      </c>
      <c r="C20" s="36" t="str">
        <f>+'S&amp;D'!C25</f>
        <v>Electric Utility - Central</v>
      </c>
      <c r="D20" s="63">
        <f>+'S&amp;D'!G25</f>
        <v>63.33</v>
      </c>
      <c r="E20" s="64">
        <f>+'S&amp;D'!D45</f>
        <v>18448029000</v>
      </c>
      <c r="F20" s="56">
        <f>+'Dividends '!H19</f>
        <v>3.0791094268119375E-2</v>
      </c>
      <c r="G20" s="56">
        <v>0.06</v>
      </c>
      <c r="H20" s="56">
        <v>6.5000000000000002E-2</v>
      </c>
      <c r="I20" s="395">
        <f t="shared" si="0"/>
        <v>9.0791094268119377E-2</v>
      </c>
      <c r="J20" s="395">
        <f t="shared" si="1"/>
        <v>9.5791094268119381E-2</v>
      </c>
      <c r="K20" s="13"/>
    </row>
    <row r="21" spans="1:11" ht="17.25">
      <c r="A21" s="45" t="str">
        <f>+'S&amp;D'!A26</f>
        <v>New Jersey Resources Corp</v>
      </c>
      <c r="B21" s="36" t="str">
        <f>+'S&amp;D'!B26</f>
        <v>NJR</v>
      </c>
      <c r="C21" s="36" t="str">
        <f>+'S&amp;D'!C26</f>
        <v>Gas Utility</v>
      </c>
      <c r="D21" s="63">
        <f>+'S&amp;D'!G26</f>
        <v>49.62</v>
      </c>
      <c r="E21" s="64">
        <f>+'S&amp;D'!D46</f>
        <v>4803389173.8000002</v>
      </c>
      <c r="F21" s="56">
        <f>+'Dividends '!H20</f>
        <v>3.1438935912938337E-2</v>
      </c>
      <c r="G21" s="56">
        <v>0.05</v>
      </c>
      <c r="H21" s="56">
        <v>0.05</v>
      </c>
      <c r="I21" s="395">
        <f t="shared" si="0"/>
        <v>8.143893591293834E-2</v>
      </c>
      <c r="J21" s="395">
        <f t="shared" si="1"/>
        <v>8.143893591293834E-2</v>
      </c>
      <c r="K21" s="13"/>
    </row>
    <row r="22" spans="1:11" ht="17.25">
      <c r="A22" s="45" t="str">
        <f>+'S&amp;D'!A27</f>
        <v>NISOURCE Inc.</v>
      </c>
      <c r="B22" s="36" t="str">
        <f>+'S&amp;D'!B27</f>
        <v>NI</v>
      </c>
      <c r="C22" s="36" t="str">
        <f>+'S&amp;D'!C27</f>
        <v>Gas Utility</v>
      </c>
      <c r="D22" s="63">
        <f>+'S&amp;D'!G27</f>
        <v>27.42</v>
      </c>
      <c r="E22" s="64">
        <f>+'S&amp;D'!D47</f>
        <v>11300950146.84</v>
      </c>
      <c r="F22" s="56">
        <f>+'Dividends '!H21</f>
        <v>3.6469730123997082E-2</v>
      </c>
      <c r="G22" s="56">
        <v>4.4999999999999998E-2</v>
      </c>
      <c r="H22" s="56">
        <v>9.5000000000000001E-2</v>
      </c>
      <c r="I22" s="395">
        <f t="shared" si="0"/>
        <v>8.1469730123997081E-2</v>
      </c>
      <c r="J22" s="395">
        <f t="shared" si="1"/>
        <v>0.1314697301239971</v>
      </c>
      <c r="K22" s="13"/>
    </row>
    <row r="23" spans="1:11" ht="17.25">
      <c r="A23" s="45" t="str">
        <f>+'S&amp;D'!A28</f>
        <v xml:space="preserve">Northwest Natural Holding Company </v>
      </c>
      <c r="B23" s="36" t="str">
        <f>+'S&amp;D'!B28</f>
        <v>NWN</v>
      </c>
      <c r="C23" s="36" t="str">
        <f>+'S&amp;D'!C28</f>
        <v>Gas Utility</v>
      </c>
      <c r="D23" s="63">
        <f>+'S&amp;D'!G28</f>
        <v>47.59</v>
      </c>
      <c r="E23" s="64">
        <f>+'S&amp;D'!D48</f>
        <v>1690634750.0000002</v>
      </c>
      <c r="F23" s="56">
        <f>+'Dividends '!H22</f>
        <v>4.0764866568606846E-2</v>
      </c>
      <c r="G23" s="56">
        <v>5.0000000000000001E-3</v>
      </c>
      <c r="H23" s="56">
        <v>6.5000000000000002E-2</v>
      </c>
      <c r="I23" s="395">
        <f t="shared" si="0"/>
        <v>4.5764866568606843E-2</v>
      </c>
      <c r="J23" s="395">
        <f t="shared" si="1"/>
        <v>0.10576486656860684</v>
      </c>
      <c r="K23" s="13"/>
    </row>
    <row r="24" spans="1:11" ht="17.25">
      <c r="A24" s="45" t="str">
        <f>+'S&amp;D'!A29</f>
        <v>One Gas INC</v>
      </c>
      <c r="B24" s="36" t="str">
        <f>+'S&amp;D'!B29</f>
        <v>OGS</v>
      </c>
      <c r="C24" s="36" t="str">
        <f>+'S&amp;D'!C29</f>
        <v>Gas Utility</v>
      </c>
      <c r="D24" s="63">
        <f>+'S&amp;D'!G29</f>
        <v>75.72</v>
      </c>
      <c r="E24" s="64">
        <f>+'S&amp;D'!D49</f>
        <v>4191098516.8800001</v>
      </c>
      <c r="F24" s="56">
        <f>+'Dividends '!H23</f>
        <v>3.4337031167459064E-2</v>
      </c>
      <c r="G24" s="56">
        <v>5.5E-2</v>
      </c>
      <c r="H24" s="56">
        <v>0.06</v>
      </c>
      <c r="I24" s="395">
        <f t="shared" si="0"/>
        <v>8.9337031167459058E-2</v>
      </c>
      <c r="J24" s="395">
        <f t="shared" si="1"/>
        <v>9.4337031167459062E-2</v>
      </c>
      <c r="K24" s="13"/>
    </row>
    <row r="25" spans="1:11" ht="17.25">
      <c r="A25" s="45" t="str">
        <f>+'S&amp;D'!A30</f>
        <v>Southwest Gas Holdings, Inc</v>
      </c>
      <c r="B25" s="36" t="str">
        <f>+'S&amp;D'!B30</f>
        <v>SWX</v>
      </c>
      <c r="C25" s="36" t="str">
        <f>+'S&amp;D'!C30</f>
        <v>Gas Utility</v>
      </c>
      <c r="D25" s="63">
        <f>+'S&amp;D'!G30</f>
        <v>61.88</v>
      </c>
      <c r="E25" s="64">
        <f>+'S&amp;D'!D50</f>
        <v>4153332568.8400002</v>
      </c>
      <c r="F25" s="56">
        <f>+'Dividends '!H24</f>
        <v>4.1693600517129926E-2</v>
      </c>
      <c r="G25" s="56">
        <v>5.5E-2</v>
      </c>
      <c r="H25" s="56">
        <v>0.1</v>
      </c>
      <c r="I25" s="395">
        <f>+F25+G25</f>
        <v>9.6693600517129927E-2</v>
      </c>
      <c r="J25" s="395">
        <f>+F25+H25</f>
        <v>0.14169360051712993</v>
      </c>
      <c r="K25" s="13"/>
    </row>
    <row r="26" spans="1:11" ht="17.25">
      <c r="A26" s="45" t="str">
        <f>+'S&amp;D'!A31</f>
        <v>Spire Inc / Laclede Group Inc</v>
      </c>
      <c r="B26" s="36" t="str">
        <f>+'S&amp;D'!B31</f>
        <v>SR</v>
      </c>
      <c r="C26" s="36" t="str">
        <f>+'S&amp;D'!C31</f>
        <v>Gas Utility</v>
      </c>
      <c r="D26" s="63">
        <f>+'S&amp;D'!G31</f>
        <v>68.86</v>
      </c>
      <c r="E26" s="64">
        <f>+'S&amp;D'!D51</f>
        <v>3618021186.5599999</v>
      </c>
      <c r="F26" s="56">
        <f>+'Dividends '!H25</f>
        <v>4.1823990705779843E-2</v>
      </c>
      <c r="G26" s="56">
        <v>0.05</v>
      </c>
      <c r="H26" s="56">
        <v>0.08</v>
      </c>
      <c r="I26" s="395">
        <f t="shared" si="0"/>
        <v>9.1823990705779845E-2</v>
      </c>
      <c r="J26" s="395">
        <f t="shared" si="1"/>
        <v>0.12182399070577984</v>
      </c>
      <c r="K26" s="13"/>
    </row>
    <row r="27" spans="1:11" ht="18" thickBot="1">
      <c r="A27" s="45" t="str">
        <f>+'S&amp;D'!A32</f>
        <v>WEC Energy Group</v>
      </c>
      <c r="B27" s="36" t="str">
        <f>+'S&amp;D'!B32</f>
        <v>WEC</v>
      </c>
      <c r="C27" s="36" t="str">
        <f>+'S&amp;D'!C32</f>
        <v>Electric Utility - Central</v>
      </c>
      <c r="D27" s="63">
        <f>+'S&amp;D'!G32</f>
        <v>93.76</v>
      </c>
      <c r="E27" s="64">
        <f>+'S&amp;D'!D52</f>
        <v>29575141626.560001</v>
      </c>
      <c r="F27" s="396">
        <f>+'Dividends '!H26</f>
        <v>3.3276450511945395E-2</v>
      </c>
      <c r="G27" s="396">
        <v>7.0000000000000007E-2</v>
      </c>
      <c r="H27" s="396">
        <v>0.06</v>
      </c>
      <c r="I27" s="397">
        <f t="shared" si="0"/>
        <v>0.10327645051194539</v>
      </c>
      <c r="J27" s="397">
        <f t="shared" si="1"/>
        <v>9.3276450511945386E-2</v>
      </c>
      <c r="K27" s="13"/>
    </row>
    <row r="28" spans="1:11" ht="17.25" thickTop="1">
      <c r="A28" s="13"/>
      <c r="B28" s="13"/>
      <c r="C28" s="15" t="s">
        <v>0</v>
      </c>
      <c r="D28" s="16" t="s">
        <v>0</v>
      </c>
      <c r="E28" s="16" t="s">
        <v>56</v>
      </c>
      <c r="F28" s="17">
        <v>4.18</v>
      </c>
      <c r="G28" s="313">
        <v>7.5</v>
      </c>
      <c r="H28" s="17">
        <v>10</v>
      </c>
      <c r="I28" s="17">
        <v>10.33</v>
      </c>
      <c r="J28" s="17">
        <v>14.17</v>
      </c>
      <c r="K28" s="13"/>
    </row>
    <row r="29" spans="1:11" ht="16.5">
      <c r="A29" s="13"/>
      <c r="B29" s="13"/>
      <c r="C29" s="15"/>
      <c r="D29" s="16"/>
      <c r="E29" s="16" t="s">
        <v>57</v>
      </c>
      <c r="F29" s="315">
        <v>2.57</v>
      </c>
      <c r="G29" s="370">
        <v>0.5</v>
      </c>
      <c r="H29" s="315">
        <v>5</v>
      </c>
      <c r="I29" s="315">
        <v>5.07</v>
      </c>
      <c r="J29" s="315">
        <v>8.14</v>
      </c>
      <c r="K29" s="13"/>
    </row>
    <row r="30" spans="1:11" ht="16.5">
      <c r="A30" s="13"/>
      <c r="B30" s="13"/>
      <c r="D30" s="18" t="s">
        <v>0</v>
      </c>
      <c r="E30" s="15" t="s">
        <v>18</v>
      </c>
      <c r="F30" s="57">
        <f>MEDIAN(F17:F27)</f>
        <v>3.426215524594825E-2</v>
      </c>
      <c r="G30" s="398">
        <v>7.4999999999999997E-2</v>
      </c>
      <c r="H30" s="398">
        <f>MEDIAN(H17:H27)</f>
        <v>6.5000000000000002E-2</v>
      </c>
      <c r="I30" s="399">
        <f>MEDIAN(I17:I27)</f>
        <v>8.9337031167459058E-2</v>
      </c>
      <c r="J30" s="399">
        <f>MEDIAN(J17:J27)</f>
        <v>9.5791094268119381E-2</v>
      </c>
      <c r="K30" s="13"/>
    </row>
    <row r="31" spans="1:11" ht="16.5">
      <c r="A31" s="13"/>
      <c r="B31" s="13"/>
      <c r="D31" s="22" t="s">
        <v>0</v>
      </c>
      <c r="E31" s="15" t="s">
        <v>474</v>
      </c>
      <c r="F31" s="57">
        <f>AVERAGE(F17:F27)</f>
        <v>3.4267740362326382E-2</v>
      </c>
      <c r="G31" s="57">
        <f>AVERAGE(G17:G27)</f>
        <v>4.9545454545454538E-2</v>
      </c>
      <c r="H31" s="398">
        <f>AVERAGE(H17:H27)</f>
        <v>7.0000000000000007E-2</v>
      </c>
      <c r="I31" s="399">
        <f>AVERAGE(I17:I27)</f>
        <v>8.3813194907780927E-2</v>
      </c>
      <c r="J31" s="399">
        <f>AVERAGE(J17:J27)</f>
        <v>0.10426774036232639</v>
      </c>
      <c r="K31" s="13"/>
    </row>
    <row r="32" spans="1:11" ht="16.5">
      <c r="A32" s="13"/>
      <c r="B32" s="13"/>
      <c r="C32" s="15"/>
      <c r="D32" s="22"/>
      <c r="E32" s="23"/>
      <c r="F32" s="19"/>
      <c r="G32" s="19"/>
      <c r="H32" s="20"/>
      <c r="I32" s="21"/>
      <c r="J32" s="21"/>
      <c r="K32" s="13"/>
    </row>
    <row r="33" spans="1:11" ht="17.25" thickBot="1">
      <c r="A33" s="13"/>
      <c r="B33" s="13"/>
      <c r="C33" s="13"/>
      <c r="D33" s="13"/>
      <c r="E33" s="13"/>
      <c r="F33" s="13"/>
      <c r="G33" s="13"/>
      <c r="H33" s="13"/>
      <c r="I33" s="13"/>
      <c r="J33" s="13"/>
      <c r="K33" s="13"/>
    </row>
    <row r="34" spans="1:11" ht="27" thickBot="1">
      <c r="A34" s="13"/>
      <c r="B34" s="13"/>
      <c r="C34" s="13"/>
      <c r="D34" s="13"/>
      <c r="E34" s="13"/>
      <c r="F34" s="13"/>
      <c r="G34" s="208" t="s">
        <v>204</v>
      </c>
      <c r="H34" s="210"/>
      <c r="I34" s="400">
        <v>8.3799999999999999E-2</v>
      </c>
      <c r="J34" s="13"/>
      <c r="K34" s="13"/>
    </row>
    <row r="35" spans="1:11" ht="17.25" thickBot="1">
      <c r="A35" s="13"/>
      <c r="B35" s="13"/>
      <c r="C35" s="13"/>
      <c r="D35" s="13"/>
      <c r="E35" s="13"/>
      <c r="F35" s="13"/>
      <c r="G35" s="13"/>
      <c r="H35" s="13"/>
      <c r="I35" s="13"/>
      <c r="J35" s="13"/>
      <c r="K35" s="13"/>
    </row>
    <row r="36" spans="1:11" ht="27" thickBot="1">
      <c r="A36" s="13"/>
      <c r="B36" s="13"/>
      <c r="C36" s="13"/>
      <c r="D36" s="13"/>
      <c r="E36" s="13"/>
      <c r="F36" s="13"/>
      <c r="G36" s="208" t="s">
        <v>203</v>
      </c>
      <c r="H36" s="211"/>
      <c r="I36" s="400">
        <v>0.1043</v>
      </c>
      <c r="J36" s="13"/>
      <c r="K36" s="13"/>
    </row>
    <row r="37" spans="1:11" ht="16.5">
      <c r="A37" s="13"/>
      <c r="B37" s="13"/>
      <c r="C37" s="13"/>
      <c r="D37" s="13"/>
      <c r="E37" s="13"/>
      <c r="F37" s="13"/>
      <c r="G37" s="13"/>
      <c r="H37" s="13"/>
      <c r="I37" s="13"/>
      <c r="J37" s="13"/>
    </row>
    <row r="38" spans="1:11" ht="26.25">
      <c r="A38" s="25" t="s">
        <v>396</v>
      </c>
      <c r="B38" s="13"/>
      <c r="C38" s="25" t="s">
        <v>397</v>
      </c>
      <c r="D38" s="13"/>
      <c r="E38" s="13"/>
      <c r="F38" s="13"/>
      <c r="G38" s="13"/>
      <c r="H38" s="13"/>
      <c r="I38" s="13"/>
      <c r="J38" s="13"/>
    </row>
    <row r="39" spans="1:11" ht="17.25">
      <c r="A39" s="66" t="s">
        <v>398</v>
      </c>
      <c r="B39" s="13"/>
      <c r="C39" s="66" t="s">
        <v>398</v>
      </c>
      <c r="D39" s="13"/>
      <c r="E39" s="13"/>
      <c r="F39" s="13"/>
      <c r="G39" s="13"/>
      <c r="H39" s="13"/>
      <c r="I39" s="13"/>
      <c r="J39" s="13"/>
    </row>
    <row r="40" spans="1:11" ht="17.25">
      <c r="A40" s="66" t="s">
        <v>399</v>
      </c>
      <c r="B40" s="13"/>
      <c r="C40" s="66" t="s">
        <v>400</v>
      </c>
      <c r="D40" s="13"/>
      <c r="E40" s="13"/>
      <c r="F40" s="13"/>
      <c r="G40" s="13"/>
      <c r="H40" s="13"/>
      <c r="I40" s="13"/>
      <c r="J40" s="13"/>
    </row>
    <row r="41" spans="1:11" ht="16.5">
      <c r="A41" s="45"/>
      <c r="B41" s="13"/>
      <c r="C41" s="45"/>
      <c r="D41" s="13"/>
      <c r="E41" s="13"/>
      <c r="F41" s="13"/>
      <c r="G41" s="13"/>
      <c r="H41" s="13"/>
      <c r="I41" s="13"/>
      <c r="J41" s="13"/>
    </row>
    <row r="42" spans="1:11" ht="16.5">
      <c r="A42" s="45"/>
      <c r="B42" s="13"/>
      <c r="C42" s="45"/>
      <c r="D42" s="13"/>
      <c r="E42" s="13"/>
      <c r="F42" s="13"/>
      <c r="G42" s="13"/>
      <c r="H42" s="13"/>
      <c r="I42" s="13"/>
      <c r="J42" s="13"/>
    </row>
    <row r="43" spans="1:11" ht="26.25">
      <c r="A43" s="25" t="s">
        <v>227</v>
      </c>
      <c r="B43" s="13"/>
      <c r="C43" s="25" t="s">
        <v>227</v>
      </c>
      <c r="D43" s="13"/>
      <c r="E43" s="13"/>
      <c r="F43" s="13"/>
      <c r="G43" s="13"/>
      <c r="H43" s="13"/>
      <c r="I43" s="13"/>
      <c r="J43" s="13"/>
    </row>
    <row r="44" spans="1:11" ht="16.5">
      <c r="A44" s="45"/>
      <c r="B44" s="13"/>
      <c r="C44" s="45"/>
      <c r="D44" s="13"/>
      <c r="E44" s="13"/>
      <c r="F44" s="13"/>
      <c r="H44" s="13"/>
      <c r="I44" s="13"/>
      <c r="J44" s="13"/>
    </row>
    <row r="45" spans="1:11" ht="17.25">
      <c r="A45" s="66" t="s">
        <v>228</v>
      </c>
      <c r="B45" s="13"/>
      <c r="C45" s="66" t="s">
        <v>228</v>
      </c>
      <c r="D45" s="13"/>
      <c r="E45" s="13"/>
      <c r="F45" s="13"/>
      <c r="G45" s="13"/>
      <c r="H45" s="13"/>
      <c r="I45" s="13"/>
      <c r="J45" s="13"/>
    </row>
    <row r="46" spans="1:11" ht="17.25">
      <c r="A46" s="66" t="s">
        <v>226</v>
      </c>
      <c r="B46" s="13"/>
      <c r="C46" s="66" t="s">
        <v>226</v>
      </c>
      <c r="D46" s="13"/>
      <c r="E46" s="13"/>
      <c r="F46" s="13"/>
      <c r="G46" s="13"/>
      <c r="H46" s="13"/>
      <c r="I46" s="13"/>
      <c r="J46" s="13"/>
    </row>
    <row r="47" spans="1:11" ht="17.25">
      <c r="A47" s="66" t="s">
        <v>229</v>
      </c>
      <c r="B47" s="13"/>
      <c r="C47" s="66" t="s">
        <v>229</v>
      </c>
      <c r="D47" s="13"/>
      <c r="E47" s="13"/>
      <c r="F47" s="13"/>
      <c r="G47" s="13"/>
      <c r="H47" s="13"/>
      <c r="I47" s="13"/>
      <c r="J47" s="13"/>
    </row>
    <row r="48" spans="1:11" ht="17.25">
      <c r="A48" s="66" t="s">
        <v>401</v>
      </c>
      <c r="B48" s="13"/>
      <c r="C48" s="66" t="s">
        <v>402</v>
      </c>
      <c r="D48" s="13"/>
      <c r="E48" s="13"/>
      <c r="F48" s="13"/>
      <c r="G48" s="13"/>
      <c r="H48" s="13"/>
      <c r="I48" s="13"/>
      <c r="J48" s="13"/>
    </row>
    <row r="49" spans="1:10" ht="17.25">
      <c r="A49" s="66"/>
      <c r="B49" s="13"/>
      <c r="C49" s="66"/>
      <c r="D49" s="13"/>
      <c r="E49" s="13"/>
      <c r="F49" s="13"/>
      <c r="G49" s="13"/>
      <c r="H49" s="13"/>
      <c r="I49" s="13"/>
      <c r="J49" s="13"/>
    </row>
    <row r="50" spans="1:10" ht="17.25">
      <c r="A50" s="66"/>
      <c r="B50" s="13"/>
      <c r="C50" s="66"/>
      <c r="D50" s="13"/>
      <c r="E50" s="13"/>
      <c r="F50" s="13"/>
      <c r="G50" s="13"/>
      <c r="H50" s="13"/>
      <c r="I50" s="13"/>
      <c r="J50" s="13"/>
    </row>
  </sheetData>
  <pageMargins left="0.25" right="0.25" top="0.75" bottom="0.75" header="0.3" footer="0.3"/>
  <pageSetup scale="4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150D5-3409-4DE1-88B0-B66A1BCAC2E5}">
  <sheetPr>
    <tabColor rgb="FF92D050"/>
  </sheetPr>
  <dimension ref="A1:K117"/>
  <sheetViews>
    <sheetView view="pageBreakPreview" topLeftCell="A8" zoomScale="70" zoomScaleNormal="80" zoomScaleSheetLayoutView="70" workbookViewId="0">
      <selection activeCell="A7" sqref="A7"/>
    </sheetView>
  </sheetViews>
  <sheetFormatPr defaultRowHeight="15"/>
  <cols>
    <col min="1" max="1" width="47.85546875" customWidth="1"/>
    <col min="2" max="2" width="15.28515625" customWidth="1"/>
    <col min="3" max="3" width="24.5703125" customWidth="1"/>
    <col min="4" max="4" width="26.5703125" customWidth="1"/>
    <col min="5" max="5" width="33" customWidth="1"/>
    <col min="6" max="6" width="22.42578125" customWidth="1"/>
    <col min="7" max="7" width="27" customWidth="1"/>
    <col min="8" max="8" width="43" customWidth="1"/>
    <col min="9" max="9" width="15.28515625" customWidth="1"/>
    <col min="10" max="10" width="24.5703125" customWidth="1"/>
    <col min="11" max="11" width="24.140625" customWidth="1"/>
    <col min="13" max="13" width="10.5703125" customWidth="1"/>
  </cols>
  <sheetData>
    <row r="1" spans="1:9" ht="26.25">
      <c r="A1" s="25" t="s">
        <v>1</v>
      </c>
      <c r="B1" s="13"/>
      <c r="C1" s="13"/>
      <c r="D1" s="13"/>
      <c r="E1" s="13"/>
      <c r="F1" s="13"/>
      <c r="G1" s="13"/>
      <c r="H1" s="13"/>
      <c r="I1" s="13"/>
    </row>
    <row r="2" spans="1:9" ht="17.25">
      <c r="A2" s="26" t="s">
        <v>9</v>
      </c>
      <c r="B2" s="13"/>
      <c r="C2" s="13"/>
      <c r="D2" s="13"/>
      <c r="E2" s="13"/>
      <c r="F2" s="13"/>
      <c r="G2" s="13"/>
      <c r="H2" s="13"/>
      <c r="I2" s="13"/>
    </row>
    <row r="3" spans="1:9" ht="16.5">
      <c r="A3" s="27" t="s">
        <v>81</v>
      </c>
      <c r="B3" s="13"/>
      <c r="C3" s="13"/>
      <c r="D3" s="13"/>
      <c r="E3" s="13"/>
      <c r="F3" s="13"/>
      <c r="G3" s="13"/>
      <c r="H3" s="13"/>
      <c r="I3" s="13"/>
    </row>
    <row r="4" spans="1:9" ht="16.5">
      <c r="A4" s="27"/>
      <c r="B4" s="13"/>
      <c r="C4" s="13"/>
      <c r="D4" s="13"/>
      <c r="E4" s="13"/>
      <c r="F4" s="13"/>
      <c r="G4" s="13"/>
      <c r="H4" s="13"/>
      <c r="I4" s="13"/>
    </row>
    <row r="5" spans="1:9" ht="17.25" thickBot="1">
      <c r="A5" s="13"/>
      <c r="B5" s="13"/>
      <c r="C5" s="13"/>
      <c r="D5" s="13"/>
      <c r="E5" s="13"/>
      <c r="F5" s="13"/>
      <c r="G5" s="13"/>
      <c r="H5" s="13"/>
      <c r="I5" s="28"/>
    </row>
    <row r="6" spans="1:9" ht="21" thickBot="1">
      <c r="A6" s="281" t="str">
        <f>+'S&amp;D'!A12</f>
        <v>Natural Gas Utility Distribution</v>
      </c>
      <c r="B6" s="211"/>
      <c r="C6" s="13"/>
      <c r="D6" s="13"/>
      <c r="E6" s="13"/>
      <c r="F6" s="13"/>
      <c r="G6" s="13"/>
      <c r="H6" s="13"/>
      <c r="I6" s="13"/>
    </row>
    <row r="7" spans="1:9" ht="20.25">
      <c r="A7" s="32"/>
      <c r="B7" s="13"/>
      <c r="C7" s="13"/>
      <c r="D7" s="13"/>
      <c r="E7" s="13"/>
      <c r="F7" s="13"/>
      <c r="G7" s="13"/>
      <c r="H7" s="13"/>
      <c r="I7" s="13"/>
    </row>
    <row r="8" spans="1:9" ht="21" thickBot="1">
      <c r="A8" s="32"/>
      <c r="B8" s="13"/>
      <c r="C8" s="13"/>
      <c r="D8" s="30"/>
      <c r="E8" s="30"/>
      <c r="F8" s="30"/>
      <c r="G8" s="13"/>
      <c r="H8" s="13"/>
      <c r="I8" s="13"/>
    </row>
    <row r="9" spans="1:9" ht="26.25">
      <c r="A9" s="32"/>
      <c r="B9" s="13"/>
      <c r="C9" s="13"/>
      <c r="D9" s="13"/>
      <c r="E9" s="33" t="s">
        <v>205</v>
      </c>
      <c r="F9" s="13"/>
      <c r="G9" s="13"/>
      <c r="H9" s="13"/>
      <c r="I9" s="13"/>
    </row>
    <row r="10" spans="1:9" ht="21" thickBot="1">
      <c r="A10" s="32"/>
      <c r="B10" s="13"/>
      <c r="C10" s="13"/>
      <c r="D10" s="30"/>
      <c r="E10" s="34" t="s">
        <v>95</v>
      </c>
      <c r="F10" s="30"/>
      <c r="G10" s="13"/>
      <c r="H10" s="13"/>
      <c r="I10" s="13"/>
    </row>
    <row r="11" spans="1:9" ht="20.25">
      <c r="A11" s="32"/>
      <c r="B11" s="13"/>
      <c r="C11" s="13"/>
      <c r="D11" s="13"/>
      <c r="E11" s="13"/>
      <c r="F11" s="36"/>
      <c r="G11" s="36"/>
      <c r="H11" s="13"/>
      <c r="I11" s="13"/>
    </row>
    <row r="12" spans="1:9" ht="20.25">
      <c r="A12" s="32"/>
      <c r="B12" s="13"/>
      <c r="C12" s="13"/>
      <c r="D12" s="13"/>
      <c r="E12" s="13"/>
      <c r="F12" s="36"/>
      <c r="G12" s="36"/>
      <c r="H12" s="13"/>
      <c r="I12" s="13"/>
    </row>
    <row r="13" spans="1:9" ht="45.75" customHeight="1" thickBot="1">
      <c r="A13" s="35" t="s">
        <v>0</v>
      </c>
      <c r="B13" s="35" t="s">
        <v>0</v>
      </c>
      <c r="C13" s="35" t="s">
        <v>0</v>
      </c>
      <c r="D13" s="30"/>
      <c r="E13" s="30"/>
      <c r="F13" s="35" t="s">
        <v>0</v>
      </c>
      <c r="G13" s="35"/>
      <c r="H13" s="35"/>
      <c r="I13" s="13"/>
    </row>
    <row r="14" spans="1:9" ht="16.5">
      <c r="A14" s="36" t="s">
        <v>0</v>
      </c>
      <c r="B14" s="36" t="s">
        <v>3</v>
      </c>
      <c r="C14" s="36" t="s">
        <v>5</v>
      </c>
      <c r="D14" s="36" t="s">
        <v>201</v>
      </c>
      <c r="E14" s="36" t="s">
        <v>202</v>
      </c>
      <c r="F14" s="36" t="s">
        <v>206</v>
      </c>
      <c r="G14" s="36" t="s">
        <v>19</v>
      </c>
      <c r="H14" s="36" t="s">
        <v>208</v>
      </c>
      <c r="I14" s="13"/>
    </row>
    <row r="15" spans="1:9" ht="16.5">
      <c r="A15" s="36" t="s">
        <v>2</v>
      </c>
      <c r="B15" s="36" t="s">
        <v>4</v>
      </c>
      <c r="C15" s="36" t="s">
        <v>6</v>
      </c>
      <c r="D15" s="36" t="s">
        <v>428</v>
      </c>
      <c r="E15" s="36" t="s">
        <v>430</v>
      </c>
      <c r="F15" s="36" t="s">
        <v>149</v>
      </c>
      <c r="G15" s="36" t="s">
        <v>207</v>
      </c>
      <c r="H15" s="36" t="s">
        <v>196</v>
      </c>
      <c r="I15" s="13"/>
    </row>
    <row r="16" spans="1:9" ht="16.5">
      <c r="A16" s="36"/>
      <c r="B16" s="36" t="s">
        <v>0</v>
      </c>
      <c r="C16" s="36" t="s">
        <v>0</v>
      </c>
      <c r="D16" s="36" t="s">
        <v>0</v>
      </c>
      <c r="E16" s="37" t="s">
        <v>429</v>
      </c>
      <c r="F16" s="37" t="s">
        <v>0</v>
      </c>
      <c r="G16" s="36" t="s">
        <v>212</v>
      </c>
      <c r="H16" s="37" t="s">
        <v>213</v>
      </c>
      <c r="I16" s="13"/>
    </row>
    <row r="17" spans="1:11" ht="18" customHeight="1" thickBot="1">
      <c r="A17" s="70" t="s">
        <v>0</v>
      </c>
      <c r="B17" s="39" t="s">
        <v>0</v>
      </c>
      <c r="C17" s="39" t="s">
        <v>0</v>
      </c>
      <c r="D17" s="34" t="s">
        <v>210</v>
      </c>
      <c r="E17" s="34" t="s">
        <v>211</v>
      </c>
      <c r="F17" s="34" t="s">
        <v>209</v>
      </c>
      <c r="G17" s="36" t="s">
        <v>115</v>
      </c>
      <c r="H17" s="165"/>
      <c r="I17" s="13"/>
    </row>
    <row r="18" spans="1:11" ht="16.5">
      <c r="A18" s="40" t="s">
        <v>0</v>
      </c>
      <c r="B18" s="40" t="s">
        <v>0</v>
      </c>
      <c r="C18" s="40" t="s">
        <v>0</v>
      </c>
      <c r="D18" s="40" t="s">
        <v>7</v>
      </c>
      <c r="E18" s="40" t="s">
        <v>7</v>
      </c>
      <c r="F18" s="40" t="s">
        <v>0</v>
      </c>
      <c r="G18" s="71" t="s">
        <v>0</v>
      </c>
      <c r="H18" s="40" t="s">
        <v>0</v>
      </c>
      <c r="I18" s="13"/>
    </row>
    <row r="19" spans="1:11" ht="16.5">
      <c r="A19" s="36"/>
      <c r="B19" s="36"/>
      <c r="C19" s="36"/>
      <c r="D19" s="36"/>
      <c r="E19" s="13"/>
      <c r="F19" s="36"/>
      <c r="G19" s="13"/>
      <c r="H19" s="13"/>
      <c r="I19" s="13"/>
      <c r="J19" t="s">
        <v>0</v>
      </c>
      <c r="K19" t="s">
        <v>0</v>
      </c>
    </row>
    <row r="20" spans="1:11" ht="16.5">
      <c r="A20" s="13"/>
      <c r="B20" s="13"/>
      <c r="C20" s="13"/>
      <c r="D20" s="13"/>
      <c r="E20" s="13"/>
      <c r="F20" s="13"/>
      <c r="G20" s="13"/>
      <c r="H20" s="13" t="s">
        <v>0</v>
      </c>
      <c r="I20" s="13"/>
      <c r="J20" t="s">
        <v>0</v>
      </c>
      <c r="K20" t="s">
        <v>0</v>
      </c>
    </row>
    <row r="21" spans="1:11" ht="16.5">
      <c r="A21" s="45" t="str">
        <f>+'S&amp;D'!A22</f>
        <v>Atmos Energy Corp</v>
      </c>
      <c r="B21" s="36" t="str">
        <f>+'S&amp;D'!B22</f>
        <v>ATO</v>
      </c>
      <c r="C21" s="36" t="str">
        <f>+'S&amp;D'!C22</f>
        <v>Gas Utility</v>
      </c>
      <c r="D21" s="69">
        <f>+'Single Stage Div Growth Model'!F17</f>
        <v>2.6412063888641028E-2</v>
      </c>
      <c r="E21" s="69">
        <f>+'Single Stage Div Growth Model'!H17</f>
        <v>7.0000000000000007E-2</v>
      </c>
      <c r="F21" s="69">
        <f>+'Growth &amp; Inflation Rates'!F93</f>
        <v>4.1419999999999998E-2</v>
      </c>
      <c r="G21" s="69">
        <f>(F21+E21)/2</f>
        <v>5.5710000000000003E-2</v>
      </c>
      <c r="H21" s="69">
        <f>D21*(1+(0.5*G21))+(0.67*E21)+(0.33*F21)</f>
        <v>8.7716371928259124E-2</v>
      </c>
      <c r="I21" s="13"/>
      <c r="J21" t="s">
        <v>0</v>
      </c>
      <c r="K21" t="s">
        <v>0</v>
      </c>
    </row>
    <row r="22" spans="1:11" ht="16.5">
      <c r="A22" s="45" t="str">
        <f>+'S&amp;D'!A23</f>
        <v>Black Hills Corporation</v>
      </c>
      <c r="B22" s="36" t="str">
        <f>+'S&amp;D'!B23</f>
        <v>BKH</v>
      </c>
      <c r="C22" s="36" t="str">
        <f>+'S&amp;D'!C23</f>
        <v>Electric Utility - West</v>
      </c>
      <c r="D22" s="69">
        <f>+'Single Stage Div Growth Model'!F18</f>
        <v>3.426215524594825E-2</v>
      </c>
      <c r="E22" s="69">
        <f>+'Single Stage Div Growth Model'!H18</f>
        <v>0.06</v>
      </c>
      <c r="F22" s="69">
        <f>+F21</f>
        <v>4.1419999999999998E-2</v>
      </c>
      <c r="G22" s="69">
        <f t="shared" ref="G22:G31" si="0">(F22+E22)/2</f>
        <v>5.0709999999999998E-2</v>
      </c>
      <c r="H22" s="69">
        <f t="shared" ref="H22:H31" si="1">D22*(1+(0.5*G22))+(0.67*E22)+(0.33*F22)</f>
        <v>8.8999472192209272E-2</v>
      </c>
      <c r="I22" s="13"/>
      <c r="J22" t="s">
        <v>0</v>
      </c>
      <c r="K22" t="s">
        <v>0</v>
      </c>
    </row>
    <row r="23" spans="1:11" ht="16.5">
      <c r="A23" s="45" t="str">
        <f>+'S&amp;D'!A24</f>
        <v>CenterPoint Energy Inc.</v>
      </c>
      <c r="B23" s="36" t="str">
        <f>+'S&amp;D'!B24</f>
        <v>CNP</v>
      </c>
      <c r="C23" s="36" t="str">
        <f>+'S&amp;D'!C24</f>
        <v>Electric Utility - Central</v>
      </c>
      <c r="D23" s="69">
        <f>+'Single Stage Div Growth Model'!F19</f>
        <v>2.567522507502501E-2</v>
      </c>
      <c r="E23" s="69">
        <f>+'Single Stage Div Growth Model'!H19</f>
        <v>6.5000000000000002E-2</v>
      </c>
      <c r="F23" s="69">
        <f>+F21</f>
        <v>4.1419999999999998E-2</v>
      </c>
      <c r="G23" s="69">
        <f t="shared" si="0"/>
        <v>5.321E-2</v>
      </c>
      <c r="H23" s="69">
        <f t="shared" si="1"/>
        <v>8.3576914438146063E-2</v>
      </c>
      <c r="I23" s="13"/>
      <c r="J23" t="s">
        <v>0</v>
      </c>
      <c r="K23" t="s">
        <v>0</v>
      </c>
    </row>
    <row r="24" spans="1:11" ht="16.5">
      <c r="A24" s="45" t="str">
        <f>+'S&amp;D'!A25</f>
        <v>CMS Energy Corporation</v>
      </c>
      <c r="B24" s="36" t="str">
        <f>+'S&amp;D'!B25</f>
        <v>CMS</v>
      </c>
      <c r="C24" s="36" t="str">
        <f>+'S&amp;D'!C25</f>
        <v>Electric Utility - Central</v>
      </c>
      <c r="D24" s="69">
        <f>+'Single Stage Div Growth Model'!F20</f>
        <v>3.0791094268119375E-2</v>
      </c>
      <c r="E24" s="69">
        <f>+'Single Stage Div Growth Model'!H20</f>
        <v>6.5000000000000002E-2</v>
      </c>
      <c r="F24" s="69">
        <f>+F21</f>
        <v>4.1419999999999998E-2</v>
      </c>
      <c r="G24" s="69">
        <f t="shared" si="0"/>
        <v>5.321E-2</v>
      </c>
      <c r="H24" s="69">
        <f t="shared" si="1"/>
        <v>8.8828891331122706E-2</v>
      </c>
      <c r="I24" s="13"/>
      <c r="J24" t="s">
        <v>0</v>
      </c>
      <c r="K24" t="s">
        <v>0</v>
      </c>
    </row>
    <row r="25" spans="1:11" ht="16.5">
      <c r="A25" s="45" t="str">
        <f>+'S&amp;D'!A26</f>
        <v>New Jersey Resources Corp</v>
      </c>
      <c r="B25" s="36" t="str">
        <f>+'S&amp;D'!B26</f>
        <v>NJR</v>
      </c>
      <c r="C25" s="36" t="str">
        <f>+'S&amp;D'!C26</f>
        <v>Gas Utility</v>
      </c>
      <c r="D25" s="69">
        <f>+'Single Stage Div Growth Model'!F21</f>
        <v>3.1438935912938337E-2</v>
      </c>
      <c r="E25" s="69">
        <f>+'Single Stage Div Growth Model'!H21</f>
        <v>0.05</v>
      </c>
      <c r="F25" s="69">
        <f>+F21</f>
        <v>4.1419999999999998E-2</v>
      </c>
      <c r="G25" s="69">
        <f t="shared" si="0"/>
        <v>4.5710000000000001E-2</v>
      </c>
      <c r="H25" s="69">
        <f t="shared" si="1"/>
        <v>7.932607279322855E-2</v>
      </c>
      <c r="I25" s="13"/>
      <c r="J25" s="12" t="s">
        <v>0</v>
      </c>
      <c r="K25" t="s">
        <v>0</v>
      </c>
    </row>
    <row r="26" spans="1:11" ht="16.5">
      <c r="A26" s="45" t="str">
        <f>+'S&amp;D'!A27</f>
        <v>NISOURCE Inc.</v>
      </c>
      <c r="B26" s="36" t="str">
        <f>+'S&amp;D'!B27</f>
        <v>NI</v>
      </c>
      <c r="C26" s="36" t="str">
        <f>+'S&amp;D'!C27</f>
        <v>Gas Utility</v>
      </c>
      <c r="D26" s="69">
        <f>+'Single Stage Div Growth Model'!F22</f>
        <v>3.6469730123997082E-2</v>
      </c>
      <c r="E26" s="69">
        <f>+'Single Stage Div Growth Model'!H22</f>
        <v>9.5000000000000001E-2</v>
      </c>
      <c r="F26" s="69">
        <f>+F21</f>
        <v>4.1419999999999998E-2</v>
      </c>
      <c r="G26" s="69">
        <f t="shared" si="0"/>
        <v>6.8209999999999993E-2</v>
      </c>
      <c r="H26" s="69">
        <f t="shared" si="1"/>
        <v>0.11503213026987601</v>
      </c>
      <c r="I26" s="13"/>
      <c r="J26" s="12" t="s">
        <v>0</v>
      </c>
    </row>
    <row r="27" spans="1:11" ht="16.5">
      <c r="A27" s="45" t="str">
        <f>+'S&amp;D'!A28</f>
        <v xml:space="preserve">Northwest Natural Holding Company </v>
      </c>
      <c r="B27" s="36" t="str">
        <f>+'S&amp;D'!B28</f>
        <v>NWN</v>
      </c>
      <c r="C27" s="36" t="str">
        <f>+'S&amp;D'!C28</f>
        <v>Gas Utility</v>
      </c>
      <c r="D27" s="69">
        <f>+'Single Stage Div Growth Model'!F23</f>
        <v>4.0764866568606846E-2</v>
      </c>
      <c r="E27" s="69">
        <f>+'Single Stage Div Growth Model'!H23</f>
        <v>6.5000000000000002E-2</v>
      </c>
      <c r="F27" s="69">
        <f>+F21</f>
        <v>4.1419999999999998E-2</v>
      </c>
      <c r="G27" s="69">
        <f t="shared" si="0"/>
        <v>5.321E-2</v>
      </c>
      <c r="H27" s="69">
        <f t="shared" si="1"/>
        <v>9.9068015843664647E-2</v>
      </c>
      <c r="I27" s="13"/>
      <c r="J27" t="s">
        <v>0</v>
      </c>
    </row>
    <row r="28" spans="1:11" ht="16.5">
      <c r="A28" s="45" t="str">
        <f>+'S&amp;D'!A29</f>
        <v>One Gas INC</v>
      </c>
      <c r="B28" s="36" t="str">
        <f>+'S&amp;D'!B29</f>
        <v>OGS</v>
      </c>
      <c r="C28" s="36" t="str">
        <f>+'S&amp;D'!C29</f>
        <v>Gas Utility</v>
      </c>
      <c r="D28" s="69">
        <f>+'Single Stage Div Growth Model'!F24</f>
        <v>3.4337031167459064E-2</v>
      </c>
      <c r="E28" s="69">
        <f>+'Single Stage Div Growth Model'!H24</f>
        <v>0.06</v>
      </c>
      <c r="F28" s="69">
        <f>+F21</f>
        <v>4.1419999999999998E-2</v>
      </c>
      <c r="G28" s="69">
        <f t="shared" si="0"/>
        <v>5.0709999999999998E-2</v>
      </c>
      <c r="H28" s="69">
        <f t="shared" si="1"/>
        <v>8.907624659270999E-2</v>
      </c>
      <c r="I28" s="13"/>
    </row>
    <row r="29" spans="1:11" ht="16.5">
      <c r="A29" s="45" t="str">
        <f>+'S&amp;D'!A30</f>
        <v>Southwest Gas Holdings, Inc</v>
      </c>
      <c r="B29" s="36" t="str">
        <f>+'S&amp;D'!B30</f>
        <v>SWX</v>
      </c>
      <c r="C29" s="36" t="str">
        <f>+'S&amp;D'!C30</f>
        <v>Gas Utility</v>
      </c>
      <c r="D29" s="69">
        <f>+'Single Stage Div Growth Model'!F25</f>
        <v>4.1693600517129926E-2</v>
      </c>
      <c r="E29" s="69">
        <f>+'Single Stage Div Growth Model'!H25</f>
        <v>0.1</v>
      </c>
      <c r="F29" s="69">
        <f>+F21</f>
        <v>4.1419999999999998E-2</v>
      </c>
      <c r="G29" s="69">
        <f t="shared" si="0"/>
        <v>7.0709999999999995E-2</v>
      </c>
      <c r="H29" s="69">
        <f t="shared" si="1"/>
        <v>0.12383627776341306</v>
      </c>
      <c r="I29" s="13"/>
    </row>
    <row r="30" spans="1:11" ht="16.5">
      <c r="A30" s="45" t="str">
        <f>+'S&amp;D'!A31</f>
        <v>Spire Inc / Laclede Group Inc</v>
      </c>
      <c r="B30" s="36" t="str">
        <f>+'S&amp;D'!B31</f>
        <v>SR</v>
      </c>
      <c r="C30" s="36" t="str">
        <f>+'S&amp;D'!C31</f>
        <v>Gas Utility</v>
      </c>
      <c r="D30" s="69">
        <f>+'Single Stage Div Growth Model'!F26</f>
        <v>4.1823990705779843E-2</v>
      </c>
      <c r="E30" s="69">
        <f>+'Single Stage Div Growth Model'!H26</f>
        <v>0.08</v>
      </c>
      <c r="F30" s="69">
        <f>+F21</f>
        <v>4.1419999999999998E-2</v>
      </c>
      <c r="G30" s="69">
        <f t="shared" si="0"/>
        <v>6.071E-2</v>
      </c>
      <c r="H30" s="69">
        <f t="shared" si="1"/>
        <v>0.11036215794365378</v>
      </c>
      <c r="I30" s="13"/>
    </row>
    <row r="31" spans="1:11" ht="17.25" thickBot="1">
      <c r="A31" s="45" t="str">
        <f>+'S&amp;D'!A32</f>
        <v>WEC Energy Group</v>
      </c>
      <c r="B31" s="36" t="str">
        <f>+'S&amp;D'!B32</f>
        <v>WEC</v>
      </c>
      <c r="C31" s="36" t="str">
        <f>+'S&amp;D'!C32</f>
        <v>Electric Utility - Central</v>
      </c>
      <c r="D31" s="69">
        <f>+'Single Stage Div Growth Model'!F27</f>
        <v>3.3276450511945395E-2</v>
      </c>
      <c r="E31" s="69">
        <f>+'Single Stage Div Growth Model'!H27</f>
        <v>0.06</v>
      </c>
      <c r="F31" s="69">
        <f>+F21</f>
        <v>4.1419999999999998E-2</v>
      </c>
      <c r="G31" s="69">
        <f t="shared" si="0"/>
        <v>5.0709999999999998E-2</v>
      </c>
      <c r="H31" s="160">
        <f t="shared" si="1"/>
        <v>8.7988774914675771E-2</v>
      </c>
      <c r="I31" s="13"/>
    </row>
    <row r="32" spans="1:11" ht="17.25" thickTop="1">
      <c r="A32" s="13"/>
      <c r="B32" s="13"/>
      <c r="C32" s="13"/>
      <c r="D32" s="13"/>
      <c r="E32" s="13"/>
      <c r="F32" s="13"/>
      <c r="G32" s="202" t="s">
        <v>56</v>
      </c>
      <c r="H32" s="58">
        <v>0.1062</v>
      </c>
      <c r="I32" s="13"/>
    </row>
    <row r="33" spans="1:9" ht="16.5">
      <c r="A33" s="13"/>
      <c r="B33" s="13"/>
      <c r="C33" s="15" t="s">
        <v>0</v>
      </c>
      <c r="D33" s="16" t="s">
        <v>0</v>
      </c>
      <c r="E33" s="16" t="s">
        <v>0</v>
      </c>
      <c r="F33" s="17" t="s">
        <v>0</v>
      </c>
      <c r="G33" s="17" t="s">
        <v>57</v>
      </c>
      <c r="H33" s="308">
        <v>5.6599999999999998E-2</v>
      </c>
      <c r="I33" s="13"/>
    </row>
    <row r="34" spans="1:9" ht="16.5">
      <c r="A34" s="13"/>
      <c r="B34" s="13"/>
      <c r="D34" s="58" t="s">
        <v>0</v>
      </c>
      <c r="E34" s="52" t="s">
        <v>0</v>
      </c>
      <c r="F34" s="52" t="s">
        <v>0</v>
      </c>
      <c r="G34" s="15" t="s">
        <v>18</v>
      </c>
      <c r="H34" s="53">
        <f>MEDIAN(H21:H31)</f>
        <v>8.8999472192209272E-2</v>
      </c>
      <c r="I34" s="13"/>
    </row>
    <row r="35" spans="1:9" ht="16.5">
      <c r="A35" s="13"/>
      <c r="B35" s="13"/>
      <c r="D35" s="58" t="s">
        <v>0</v>
      </c>
      <c r="E35" s="52" t="s">
        <v>0</v>
      </c>
      <c r="F35" s="58" t="s">
        <v>0</v>
      </c>
      <c r="G35" s="15" t="s">
        <v>474</v>
      </c>
      <c r="H35" s="53">
        <f>AVERAGE(H21:H31)</f>
        <v>9.5801029637359911E-2</v>
      </c>
      <c r="I35" s="13"/>
    </row>
    <row r="36" spans="1:9" ht="16.5">
      <c r="A36" s="13"/>
      <c r="B36" s="13"/>
      <c r="C36" s="15"/>
      <c r="D36" s="19"/>
      <c r="E36" s="20"/>
      <c r="F36" s="19"/>
      <c r="G36" s="21"/>
      <c r="H36" s="21"/>
      <c r="I36" s="13"/>
    </row>
    <row r="37" spans="1:9" ht="17.25" thickBot="1">
      <c r="A37" s="13"/>
      <c r="B37" s="13"/>
      <c r="C37" s="13"/>
      <c r="D37" s="13"/>
      <c r="E37" s="13"/>
      <c r="F37" s="13"/>
      <c r="G37" s="13"/>
      <c r="H37" s="13"/>
      <c r="I37" s="13"/>
    </row>
    <row r="38" spans="1:9" ht="27" thickBot="1">
      <c r="A38" s="13"/>
      <c r="B38" s="13"/>
      <c r="C38" s="13"/>
      <c r="D38" s="13"/>
      <c r="F38" s="208"/>
      <c r="G38" s="209" t="s">
        <v>262</v>
      </c>
      <c r="H38" s="401">
        <v>9.5799999999999996E-2</v>
      </c>
      <c r="I38" s="13"/>
    </row>
    <row r="39" spans="1:9" ht="16.5">
      <c r="A39" s="13"/>
      <c r="B39" s="13"/>
      <c r="C39" s="13"/>
      <c r="D39" s="13"/>
      <c r="E39" s="13"/>
      <c r="F39" s="13"/>
      <c r="G39" s="13"/>
      <c r="H39" s="13"/>
      <c r="I39" s="13"/>
    </row>
    <row r="40" spans="1:9" ht="27">
      <c r="A40" s="25" t="s">
        <v>348</v>
      </c>
      <c r="B40" s="13"/>
      <c r="C40" s="13"/>
      <c r="D40" s="13"/>
      <c r="E40" s="13"/>
      <c r="F40" s="13"/>
      <c r="G40" s="24" t="s">
        <v>0</v>
      </c>
      <c r="H40" s="13"/>
      <c r="I40" s="13"/>
    </row>
    <row r="41" spans="1:9" ht="16.5">
      <c r="A41" s="45"/>
      <c r="B41" s="13"/>
      <c r="C41" s="13"/>
      <c r="D41" s="13"/>
      <c r="E41" s="13"/>
      <c r="F41" s="13"/>
      <c r="G41" s="13"/>
      <c r="H41" s="13"/>
      <c r="I41" s="13"/>
    </row>
    <row r="42" spans="1:9" ht="17.25">
      <c r="A42" s="66" t="s">
        <v>228</v>
      </c>
      <c r="B42" s="13"/>
      <c r="C42" s="13"/>
      <c r="D42" s="13"/>
      <c r="E42" s="13"/>
      <c r="F42" s="13"/>
      <c r="G42" s="13"/>
      <c r="H42" s="13"/>
      <c r="I42" s="13"/>
    </row>
    <row r="43" spans="1:9" ht="17.25">
      <c r="A43" s="66" t="s">
        <v>349</v>
      </c>
      <c r="B43" s="13"/>
      <c r="C43" s="13"/>
      <c r="D43" s="13"/>
      <c r="E43" s="13"/>
      <c r="F43" s="13"/>
      <c r="G43" s="13"/>
      <c r="H43" s="13"/>
      <c r="I43" s="13"/>
    </row>
    <row r="44" spans="1:9" ht="17.25">
      <c r="A44" s="66" t="s">
        <v>350</v>
      </c>
      <c r="B44" s="13"/>
      <c r="C44" s="13"/>
      <c r="D44" s="13"/>
      <c r="E44" s="13"/>
      <c r="F44" s="13"/>
      <c r="G44" s="13"/>
      <c r="H44" s="13"/>
      <c r="I44" s="13"/>
    </row>
    <row r="45" spans="1:9" ht="17.25">
      <c r="A45" s="66" t="s">
        <v>351</v>
      </c>
      <c r="B45" s="13"/>
      <c r="C45" s="13"/>
      <c r="D45" s="13"/>
      <c r="E45" s="13"/>
      <c r="F45" s="13"/>
      <c r="G45" s="13"/>
      <c r="H45" s="13"/>
      <c r="I45" s="13"/>
    </row>
    <row r="46" spans="1:9" ht="17.25">
      <c r="A46" s="66" t="s">
        <v>352</v>
      </c>
      <c r="B46" s="13"/>
      <c r="C46" s="13"/>
      <c r="D46" s="13"/>
      <c r="E46" s="13"/>
      <c r="F46" s="13"/>
      <c r="G46" s="13"/>
      <c r="H46" s="13"/>
      <c r="I46" s="13"/>
    </row>
    <row r="47" spans="1:9" ht="16.5">
      <c r="A47" s="13"/>
      <c r="B47" s="13"/>
      <c r="C47" s="13"/>
      <c r="D47" s="13"/>
      <c r="E47" s="13"/>
      <c r="F47" s="13"/>
      <c r="G47" s="13"/>
      <c r="H47" s="13"/>
      <c r="I47" s="13"/>
    </row>
    <row r="48" spans="1:9" ht="16.5">
      <c r="A48" s="45" t="s">
        <v>0</v>
      </c>
      <c r="B48" s="13"/>
      <c r="C48" s="13"/>
      <c r="D48" s="13"/>
      <c r="E48" s="13"/>
      <c r="F48" s="13"/>
      <c r="G48" s="13"/>
      <c r="H48" s="13"/>
      <c r="I48" s="13"/>
    </row>
    <row r="49" spans="1:9" ht="16.5">
      <c r="A49" s="45"/>
      <c r="B49" s="13"/>
      <c r="C49" s="13"/>
      <c r="D49" s="13"/>
      <c r="E49" s="13"/>
      <c r="F49" s="13"/>
      <c r="G49" s="13"/>
      <c r="H49" s="13"/>
      <c r="I49" s="13"/>
    </row>
    <row r="50" spans="1:9" ht="16.5">
      <c r="A50" s="13"/>
      <c r="B50" s="13"/>
      <c r="C50" s="13"/>
      <c r="D50" s="13"/>
      <c r="E50" s="13"/>
      <c r="F50" s="13"/>
      <c r="G50" s="13"/>
      <c r="H50" s="13"/>
      <c r="I50" s="13"/>
    </row>
    <row r="51" spans="1:9" ht="16.5">
      <c r="A51" s="13"/>
      <c r="B51" s="13"/>
      <c r="C51" s="13"/>
      <c r="D51" s="13"/>
      <c r="E51" s="13"/>
      <c r="F51" s="13"/>
      <c r="G51" s="13"/>
      <c r="H51" s="13"/>
      <c r="I51" s="13"/>
    </row>
    <row r="52" spans="1:9" ht="16.5">
      <c r="A52" s="13"/>
      <c r="B52" s="13"/>
      <c r="C52" s="13"/>
      <c r="D52" s="13"/>
      <c r="E52" s="13"/>
      <c r="F52" s="13"/>
      <c r="G52" s="13"/>
      <c r="H52" s="13"/>
      <c r="I52" s="13"/>
    </row>
    <row r="53" spans="1:9" ht="16.5">
      <c r="A53" s="13"/>
      <c r="B53" s="13"/>
      <c r="C53" s="13"/>
      <c r="D53" s="13"/>
      <c r="E53" s="13"/>
      <c r="F53" s="13"/>
      <c r="G53" s="13"/>
      <c r="H53" s="13"/>
      <c r="I53" s="13"/>
    </row>
    <row r="54" spans="1:9" ht="16.5">
      <c r="C54" s="13"/>
      <c r="D54" s="13"/>
      <c r="E54" s="13"/>
      <c r="F54" s="13"/>
      <c r="G54" s="13"/>
      <c r="H54" s="13"/>
      <c r="I54" s="13"/>
    </row>
    <row r="55" spans="1:9" ht="16.5">
      <c r="C55" s="13"/>
      <c r="D55" s="13"/>
      <c r="E55" s="13"/>
      <c r="F55" s="13"/>
      <c r="G55" s="13"/>
      <c r="H55" s="13"/>
      <c r="I55" s="13"/>
    </row>
    <row r="56" spans="1:9" ht="16.5">
      <c r="C56" s="13"/>
      <c r="D56" s="13"/>
      <c r="E56" s="13"/>
      <c r="F56" s="13"/>
      <c r="G56" s="13"/>
      <c r="H56" s="13"/>
      <c r="I56" s="13"/>
    </row>
    <row r="57" spans="1:9" ht="16.5">
      <c r="C57" s="13"/>
      <c r="D57" s="13"/>
      <c r="E57" s="13"/>
      <c r="F57" s="13"/>
      <c r="G57" s="13"/>
      <c r="H57" s="13"/>
      <c r="I57" s="13"/>
    </row>
    <row r="58" spans="1:9" ht="16.5">
      <c r="C58" s="13"/>
      <c r="D58" s="13"/>
      <c r="E58" s="13"/>
      <c r="F58" s="13"/>
      <c r="G58" s="13"/>
      <c r="H58" s="13"/>
      <c r="I58" s="13"/>
    </row>
    <row r="59" spans="1:9" ht="16.5">
      <c r="C59" s="13"/>
      <c r="D59" s="13"/>
      <c r="E59" s="13"/>
      <c r="F59" s="13"/>
      <c r="G59" s="13"/>
      <c r="H59" s="13"/>
      <c r="I59" s="13"/>
    </row>
    <row r="60" spans="1:9" ht="16.5">
      <c r="C60" s="13"/>
      <c r="D60" s="13"/>
      <c r="E60" s="13"/>
      <c r="F60" s="13"/>
      <c r="G60" s="13"/>
      <c r="H60" s="13"/>
      <c r="I60" s="13"/>
    </row>
    <row r="61" spans="1:9" ht="16.5">
      <c r="A61" s="13"/>
      <c r="B61" s="13"/>
      <c r="C61" s="13"/>
      <c r="D61" s="13"/>
      <c r="E61" s="13"/>
      <c r="F61" s="13"/>
      <c r="G61" s="13"/>
      <c r="H61" s="13"/>
      <c r="I61" s="13"/>
    </row>
    <row r="62" spans="1:9" ht="16.5">
      <c r="A62" s="13"/>
      <c r="B62" s="13"/>
      <c r="C62" s="13"/>
      <c r="D62" s="13"/>
      <c r="E62" s="13"/>
      <c r="F62" s="13"/>
      <c r="G62" s="13"/>
      <c r="H62" s="13"/>
      <c r="I62" s="13"/>
    </row>
    <row r="63" spans="1:9" ht="16.5">
      <c r="A63" s="13"/>
      <c r="B63" s="13"/>
      <c r="C63" s="13"/>
      <c r="D63" s="13"/>
      <c r="E63" s="13"/>
      <c r="F63" s="13"/>
      <c r="G63" s="13"/>
      <c r="H63" s="13"/>
      <c r="I63" s="13"/>
    </row>
    <row r="64" spans="1:9" ht="16.5">
      <c r="A64" s="13"/>
      <c r="B64" s="13"/>
      <c r="C64" s="13"/>
      <c r="D64" s="13"/>
      <c r="E64" s="13"/>
      <c r="F64" s="13"/>
      <c r="G64" s="13"/>
      <c r="H64" s="13"/>
      <c r="I64" s="13"/>
    </row>
    <row r="65" spans="1:9" ht="16.5">
      <c r="A65" s="13"/>
      <c r="B65" s="13"/>
      <c r="C65" s="13"/>
      <c r="D65" s="13"/>
      <c r="E65" s="13"/>
      <c r="F65" s="13"/>
      <c r="G65" s="13"/>
      <c r="H65" s="13"/>
      <c r="I65" s="13"/>
    </row>
    <row r="66" spans="1:9" ht="16.5">
      <c r="A66" s="13"/>
      <c r="B66" s="13"/>
      <c r="C66" s="13"/>
      <c r="D66" s="13"/>
      <c r="E66" s="13"/>
      <c r="F66" s="13"/>
      <c r="G66" s="13"/>
      <c r="H66" s="13"/>
      <c r="I66" s="13"/>
    </row>
    <row r="67" spans="1:9" ht="16.5">
      <c r="A67" s="13"/>
      <c r="B67" s="13"/>
      <c r="C67" s="13"/>
      <c r="D67" s="13"/>
      <c r="E67" s="13"/>
      <c r="F67" s="13"/>
      <c r="G67" s="13"/>
      <c r="H67" s="13"/>
      <c r="I67" s="13"/>
    </row>
    <row r="68" spans="1:9" ht="16.5">
      <c r="A68" s="13"/>
      <c r="B68" s="13"/>
      <c r="C68" s="13"/>
      <c r="D68" s="13"/>
      <c r="E68" s="13"/>
      <c r="F68" s="13"/>
      <c r="G68" s="13"/>
      <c r="H68" s="13"/>
      <c r="I68" s="13"/>
    </row>
    <row r="69" spans="1:9" ht="16.5">
      <c r="A69" s="13"/>
      <c r="B69" s="13"/>
      <c r="C69" s="13"/>
      <c r="D69" s="13"/>
      <c r="E69" s="13"/>
      <c r="F69" s="13"/>
      <c r="G69" s="13"/>
      <c r="H69" s="13"/>
      <c r="I69" s="13"/>
    </row>
    <row r="70" spans="1:9" ht="16.5">
      <c r="A70" s="13"/>
      <c r="B70" s="13"/>
      <c r="C70" s="13"/>
      <c r="D70" s="13"/>
      <c r="E70" s="13"/>
      <c r="F70" s="13"/>
      <c r="G70" s="13"/>
      <c r="H70" s="13"/>
      <c r="I70" s="13"/>
    </row>
    <row r="71" spans="1:9" ht="16.5">
      <c r="A71" s="13"/>
      <c r="B71" s="13"/>
      <c r="C71" s="13"/>
      <c r="D71" s="13"/>
      <c r="E71" s="13"/>
      <c r="F71" s="13"/>
      <c r="G71" s="13"/>
      <c r="H71" s="13"/>
      <c r="I71" s="13"/>
    </row>
    <row r="72" spans="1:9" ht="16.5">
      <c r="A72" s="13"/>
      <c r="B72" s="13"/>
      <c r="C72" s="13"/>
      <c r="D72" s="13"/>
      <c r="E72" s="13"/>
      <c r="F72" s="13"/>
      <c r="G72" s="13"/>
      <c r="H72" s="13"/>
      <c r="I72" s="13"/>
    </row>
    <row r="73" spans="1:9" ht="16.5">
      <c r="A73" s="13"/>
      <c r="B73" s="13"/>
      <c r="C73" s="13"/>
      <c r="D73" s="13"/>
      <c r="E73" s="13"/>
      <c r="F73" s="13"/>
      <c r="G73" s="13"/>
      <c r="H73" s="13"/>
      <c r="I73" s="13"/>
    </row>
    <row r="74" spans="1:9" ht="16.5">
      <c r="A74" s="13"/>
      <c r="B74" s="13"/>
      <c r="C74" s="13"/>
      <c r="D74" s="13"/>
      <c r="E74" s="13"/>
      <c r="F74" s="13"/>
      <c r="G74" s="13"/>
      <c r="H74" s="13"/>
      <c r="I74" s="13"/>
    </row>
    <row r="75" spans="1:9" ht="16.5">
      <c r="A75" s="13"/>
      <c r="B75" s="13"/>
      <c r="C75" s="13"/>
      <c r="D75" s="13"/>
      <c r="E75" s="13"/>
      <c r="F75" s="13"/>
      <c r="G75" s="13"/>
      <c r="H75" s="13"/>
      <c r="I75" s="13"/>
    </row>
    <row r="76" spans="1:9" ht="16.5">
      <c r="A76" s="13"/>
      <c r="B76" s="13"/>
      <c r="C76" s="13"/>
      <c r="D76" s="13"/>
      <c r="E76" s="13"/>
      <c r="F76" s="13"/>
      <c r="G76" s="13"/>
      <c r="H76" s="13"/>
      <c r="I76" s="13"/>
    </row>
    <row r="77" spans="1:9" ht="16.5">
      <c r="A77" s="13"/>
      <c r="B77" s="13"/>
      <c r="C77" s="13"/>
      <c r="D77" s="13"/>
      <c r="E77" s="13"/>
      <c r="F77" s="13"/>
      <c r="G77" s="13"/>
      <c r="H77" s="13"/>
      <c r="I77" s="13"/>
    </row>
    <row r="78" spans="1:9" ht="16.5">
      <c r="A78" s="13"/>
      <c r="B78" s="13"/>
      <c r="C78" s="13"/>
      <c r="D78" s="13"/>
      <c r="E78" s="13"/>
      <c r="F78" s="13"/>
      <c r="G78" s="13"/>
      <c r="H78" s="13"/>
      <c r="I78" s="13"/>
    </row>
    <row r="79" spans="1:9" ht="16.5">
      <c r="A79" s="13"/>
      <c r="B79" s="13"/>
      <c r="C79" s="13"/>
      <c r="D79" s="13"/>
      <c r="E79" s="13"/>
      <c r="F79" s="13"/>
      <c r="G79" s="13"/>
      <c r="H79" s="13"/>
      <c r="I79" s="13"/>
    </row>
    <row r="80" spans="1:9" ht="16.5">
      <c r="A80" s="13"/>
      <c r="B80" s="13"/>
      <c r="C80" s="13"/>
      <c r="D80" s="13"/>
      <c r="E80" s="13"/>
      <c r="F80" s="13"/>
      <c r="G80" s="13"/>
      <c r="H80" s="13"/>
      <c r="I80" s="13"/>
    </row>
    <row r="81" spans="1:9" ht="16.5">
      <c r="A81" s="13"/>
      <c r="B81" s="13"/>
      <c r="C81" s="13"/>
      <c r="D81" s="13"/>
      <c r="E81" s="13"/>
      <c r="F81" s="13"/>
      <c r="G81" s="13"/>
      <c r="H81" s="13"/>
      <c r="I81" s="13"/>
    </row>
    <row r="82" spans="1:9" ht="16.5">
      <c r="A82" s="13"/>
      <c r="B82" s="13"/>
      <c r="C82" s="13"/>
      <c r="D82" s="13"/>
      <c r="E82" s="13"/>
      <c r="F82" s="13"/>
      <c r="G82" s="13"/>
      <c r="H82" s="13"/>
      <c r="I82" s="13"/>
    </row>
    <row r="83" spans="1:9" ht="16.5">
      <c r="A83" s="13"/>
      <c r="B83" s="13"/>
      <c r="C83" s="13"/>
      <c r="D83" s="13"/>
      <c r="E83" s="13"/>
      <c r="F83" s="13"/>
      <c r="G83" s="13"/>
      <c r="H83" s="13"/>
      <c r="I83" s="13"/>
    </row>
    <row r="84" spans="1:9" ht="16.5">
      <c r="A84" s="13"/>
      <c r="B84" s="13"/>
      <c r="C84" s="13"/>
      <c r="D84" s="13"/>
      <c r="E84" s="13"/>
      <c r="F84" s="13"/>
      <c r="G84" s="13"/>
      <c r="H84" s="13"/>
      <c r="I84" s="13"/>
    </row>
    <row r="85" spans="1:9" ht="16.5">
      <c r="A85" s="13"/>
      <c r="B85" s="13"/>
      <c r="C85" s="13"/>
      <c r="D85" s="13"/>
      <c r="E85" s="13"/>
      <c r="F85" s="13"/>
      <c r="G85" s="13"/>
      <c r="H85" s="13"/>
      <c r="I85" s="13"/>
    </row>
    <row r="86" spans="1:9" ht="16.5">
      <c r="A86" s="13"/>
      <c r="B86" s="13"/>
      <c r="C86" s="13"/>
      <c r="D86" s="13"/>
      <c r="E86" s="13"/>
      <c r="F86" s="13"/>
      <c r="G86" s="13"/>
      <c r="H86" s="13"/>
      <c r="I86" s="13"/>
    </row>
    <row r="87" spans="1:9" ht="16.5">
      <c r="A87" s="13"/>
      <c r="B87" s="13"/>
      <c r="C87" s="13"/>
      <c r="D87" s="13"/>
      <c r="E87" s="13"/>
      <c r="F87" s="13"/>
      <c r="G87" s="13"/>
      <c r="H87" s="13"/>
      <c r="I87" s="13"/>
    </row>
    <row r="88" spans="1:9" ht="16.5">
      <c r="A88" s="13"/>
      <c r="B88" s="13"/>
      <c r="C88" s="13"/>
      <c r="D88" s="13"/>
      <c r="E88" s="13"/>
      <c r="F88" s="13"/>
      <c r="G88" s="13"/>
      <c r="H88" s="13"/>
      <c r="I88" s="13"/>
    </row>
    <row r="89" spans="1:9" ht="16.5">
      <c r="A89" s="13"/>
      <c r="B89" s="13"/>
      <c r="C89" s="13"/>
      <c r="D89" s="13"/>
      <c r="E89" s="13"/>
      <c r="F89" s="13"/>
      <c r="G89" s="13"/>
      <c r="H89" s="13"/>
      <c r="I89" s="13"/>
    </row>
    <row r="90" spans="1:9" ht="16.5">
      <c r="A90" s="13"/>
      <c r="B90" s="13"/>
      <c r="C90" s="13"/>
      <c r="D90" s="13"/>
      <c r="E90" s="13"/>
      <c r="F90" s="13"/>
      <c r="G90" s="13"/>
      <c r="H90" s="13"/>
      <c r="I90" s="13"/>
    </row>
    <row r="91" spans="1:9" ht="16.5">
      <c r="A91" s="13"/>
      <c r="B91" s="13"/>
      <c r="C91" s="13"/>
      <c r="D91" s="13"/>
      <c r="E91" s="13"/>
      <c r="F91" s="13"/>
      <c r="G91" s="13"/>
      <c r="H91" s="13"/>
      <c r="I91" s="13"/>
    </row>
    <row r="92" spans="1:9" ht="16.5">
      <c r="A92" s="13"/>
      <c r="B92" s="13"/>
      <c r="C92" s="13"/>
      <c r="D92" s="13"/>
      <c r="E92" s="13"/>
      <c r="F92" s="13"/>
      <c r="G92" s="13"/>
      <c r="H92" s="13"/>
      <c r="I92" s="13"/>
    </row>
    <row r="93" spans="1:9" ht="16.5">
      <c r="A93" s="13"/>
      <c r="B93" s="13"/>
      <c r="C93" s="13"/>
      <c r="D93" s="13"/>
      <c r="E93" s="13"/>
      <c r="F93" s="13"/>
      <c r="G93" s="13"/>
      <c r="H93" s="13"/>
      <c r="I93" s="13"/>
    </row>
    <row r="94" spans="1:9" ht="16.5">
      <c r="A94" s="13"/>
      <c r="B94" s="13"/>
      <c r="C94" s="13"/>
      <c r="D94" s="13"/>
      <c r="E94" s="13"/>
      <c r="F94" s="13"/>
      <c r="G94" s="13"/>
      <c r="H94" s="13"/>
      <c r="I94" s="13"/>
    </row>
    <row r="95" spans="1:9" ht="16.5">
      <c r="A95" s="13"/>
      <c r="B95" s="13"/>
      <c r="C95" s="13"/>
      <c r="D95" s="13"/>
      <c r="E95" s="13"/>
      <c r="F95" s="13"/>
      <c r="G95" s="13"/>
      <c r="H95" s="13"/>
      <c r="I95" s="13"/>
    </row>
    <row r="96" spans="1:9" ht="16.5">
      <c r="A96" s="13"/>
      <c r="B96" s="13"/>
      <c r="C96" s="13"/>
      <c r="D96" s="13"/>
      <c r="E96" s="13"/>
      <c r="F96" s="13"/>
      <c r="G96" s="13"/>
      <c r="H96" s="13"/>
      <c r="I96" s="13"/>
    </row>
    <row r="97" spans="1:9" ht="16.5">
      <c r="A97" s="13"/>
      <c r="B97" s="13"/>
      <c r="C97" s="13"/>
      <c r="D97" s="13"/>
      <c r="E97" s="13"/>
      <c r="F97" s="13"/>
      <c r="G97" s="13"/>
      <c r="H97" s="13"/>
      <c r="I97" s="13"/>
    </row>
    <row r="98" spans="1:9" ht="16.5">
      <c r="A98" s="13"/>
      <c r="B98" s="13"/>
      <c r="C98" s="13"/>
      <c r="D98" s="13"/>
      <c r="E98" s="13"/>
      <c r="F98" s="13"/>
      <c r="G98" s="13"/>
      <c r="H98" s="13"/>
      <c r="I98" s="13"/>
    </row>
    <row r="99" spans="1:9" ht="16.5">
      <c r="A99" s="13"/>
      <c r="B99" s="13"/>
      <c r="C99" s="13"/>
      <c r="D99" s="13"/>
      <c r="E99" s="13"/>
      <c r="F99" s="13"/>
      <c r="G99" s="13"/>
      <c r="H99" s="13"/>
      <c r="I99" s="13"/>
    </row>
    <row r="100" spans="1:9" ht="16.5">
      <c r="A100" s="13"/>
      <c r="B100" s="13"/>
      <c r="C100" s="13"/>
      <c r="D100" s="13"/>
      <c r="E100" s="13"/>
      <c r="F100" s="13"/>
      <c r="G100" s="13"/>
      <c r="H100" s="13"/>
      <c r="I100" s="13"/>
    </row>
    <row r="101" spans="1:9" ht="16.5">
      <c r="A101" s="13"/>
      <c r="B101" s="13"/>
      <c r="C101" s="13"/>
      <c r="D101" s="13"/>
      <c r="E101" s="13"/>
      <c r="F101" s="13"/>
      <c r="G101" s="13"/>
      <c r="H101" s="13"/>
      <c r="I101" s="13"/>
    </row>
    <row r="102" spans="1:9" ht="16.5">
      <c r="A102" s="13"/>
      <c r="B102" s="13"/>
      <c r="C102" s="13"/>
      <c r="D102" s="13"/>
      <c r="E102" s="13"/>
      <c r="F102" s="13"/>
      <c r="G102" s="13"/>
      <c r="H102" s="13"/>
      <c r="I102" s="13"/>
    </row>
    <row r="103" spans="1:9" ht="16.5">
      <c r="A103" s="13"/>
      <c r="B103" s="13"/>
      <c r="C103" s="13"/>
      <c r="D103" s="13"/>
      <c r="E103" s="13"/>
      <c r="F103" s="13"/>
      <c r="G103" s="13"/>
      <c r="H103" s="13"/>
      <c r="I103" s="13"/>
    </row>
    <row r="104" spans="1:9" ht="16.5">
      <c r="A104" s="13"/>
      <c r="B104" s="13"/>
      <c r="C104" s="13"/>
      <c r="D104" s="13"/>
      <c r="E104" s="13"/>
      <c r="F104" s="13"/>
      <c r="G104" s="13"/>
      <c r="H104" s="13"/>
      <c r="I104" s="13"/>
    </row>
    <row r="105" spans="1:9" ht="16.5">
      <c r="A105" s="13"/>
      <c r="B105" s="13"/>
      <c r="C105" s="13"/>
      <c r="D105" s="13"/>
      <c r="E105" s="13"/>
      <c r="F105" s="13"/>
      <c r="G105" s="13"/>
      <c r="H105" s="13"/>
      <c r="I105" s="13"/>
    </row>
    <row r="106" spans="1:9" ht="16.5">
      <c r="A106" s="13"/>
      <c r="B106" s="13"/>
      <c r="C106" s="13"/>
      <c r="D106" s="13"/>
      <c r="E106" s="13"/>
      <c r="F106" s="13"/>
      <c r="G106" s="13"/>
      <c r="H106" s="13"/>
      <c r="I106" s="13"/>
    </row>
    <row r="107" spans="1:9" ht="16.5">
      <c r="A107" s="13"/>
      <c r="B107" s="13"/>
      <c r="C107" s="13"/>
      <c r="D107" s="13"/>
      <c r="E107" s="13"/>
      <c r="F107" s="13"/>
      <c r="G107" s="13"/>
      <c r="H107" s="13"/>
      <c r="I107" s="13"/>
    </row>
    <row r="108" spans="1:9" ht="16.5">
      <c r="A108" s="13"/>
      <c r="B108" s="13"/>
      <c r="C108" s="13"/>
      <c r="D108" s="13"/>
      <c r="E108" s="13"/>
      <c r="F108" s="13"/>
      <c r="G108" s="13"/>
      <c r="H108" s="13"/>
      <c r="I108" s="13"/>
    </row>
    <row r="109" spans="1:9" ht="16.5">
      <c r="A109" s="13"/>
      <c r="B109" s="13"/>
      <c r="C109" s="13"/>
      <c r="D109" s="13"/>
      <c r="E109" s="13"/>
      <c r="F109" s="13"/>
      <c r="G109" s="13"/>
      <c r="H109" s="13"/>
      <c r="I109" s="13"/>
    </row>
    <row r="110" spans="1:9" ht="16.5">
      <c r="A110" s="13"/>
      <c r="B110" s="13"/>
      <c r="C110" s="13"/>
      <c r="D110" s="13"/>
      <c r="E110" s="13"/>
      <c r="F110" s="13"/>
      <c r="G110" s="13"/>
      <c r="H110" s="13"/>
      <c r="I110" s="13"/>
    </row>
    <row r="111" spans="1:9" ht="16.5">
      <c r="A111" s="13"/>
      <c r="B111" s="13"/>
      <c r="C111" s="13"/>
      <c r="D111" s="13"/>
      <c r="E111" s="13"/>
      <c r="F111" s="13"/>
      <c r="G111" s="13"/>
      <c r="H111" s="13"/>
      <c r="I111" s="13"/>
    </row>
    <row r="112" spans="1:9" ht="16.5">
      <c r="A112" s="13"/>
      <c r="B112" s="13"/>
      <c r="C112" s="13"/>
      <c r="D112" s="13"/>
      <c r="E112" s="13"/>
      <c r="F112" s="13"/>
      <c r="G112" s="13"/>
      <c r="H112" s="13"/>
      <c r="I112" s="13"/>
    </row>
    <row r="113" spans="1:9" ht="16.5">
      <c r="A113" s="13"/>
      <c r="B113" s="13"/>
      <c r="C113" s="13"/>
      <c r="D113" s="13"/>
      <c r="E113" s="13"/>
      <c r="F113" s="13"/>
      <c r="G113" s="13"/>
      <c r="H113" s="13"/>
      <c r="I113" s="13"/>
    </row>
    <row r="114" spans="1:9" ht="16.5">
      <c r="A114" s="13"/>
      <c r="B114" s="13"/>
      <c r="C114" s="13"/>
      <c r="D114" s="13"/>
      <c r="E114" s="13"/>
      <c r="F114" s="13"/>
      <c r="G114" s="13"/>
      <c r="H114" s="13"/>
      <c r="I114" s="13"/>
    </row>
    <row r="115" spans="1:9" ht="16.5">
      <c r="A115" s="13"/>
      <c r="B115" s="13"/>
      <c r="C115" s="13"/>
      <c r="D115" s="13"/>
      <c r="E115" s="13"/>
      <c r="F115" s="13"/>
      <c r="G115" s="13"/>
      <c r="H115" s="13"/>
      <c r="I115" s="13"/>
    </row>
    <row r="116" spans="1:9" ht="16.5">
      <c r="A116" s="13"/>
      <c r="B116" s="13"/>
      <c r="C116" s="13"/>
      <c r="D116" s="13"/>
      <c r="E116" s="13"/>
      <c r="F116" s="13"/>
      <c r="G116" s="13"/>
      <c r="H116" s="13"/>
      <c r="I116" s="13"/>
    </row>
    <row r="117" spans="1:9" ht="16.5">
      <c r="A117" s="13"/>
      <c r="B117" s="13"/>
      <c r="C117" s="13"/>
      <c r="D117" s="13"/>
      <c r="E117" s="13"/>
      <c r="F117" s="13"/>
      <c r="G117" s="13"/>
      <c r="H117" s="13"/>
      <c r="I117" s="13"/>
    </row>
  </sheetData>
  <pageMargins left="0.25" right="0.25" top="0.75" bottom="0.75" header="0.3" footer="0.3"/>
  <pageSetup scale="4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A9282-6164-4F23-8F00-A2369B6B55B2}">
  <sheetPr>
    <tabColor rgb="FF92D050"/>
  </sheetPr>
  <dimension ref="A1:N49"/>
  <sheetViews>
    <sheetView view="pageBreakPreview" zoomScale="70" zoomScaleNormal="80" zoomScaleSheetLayoutView="70" workbookViewId="0">
      <selection activeCell="D2" sqref="D2"/>
    </sheetView>
  </sheetViews>
  <sheetFormatPr defaultRowHeight="15"/>
  <cols>
    <col min="1" max="1" width="21.5703125" customWidth="1"/>
    <col min="2" max="2" width="38.42578125" customWidth="1"/>
    <col min="3" max="3" width="25" customWidth="1"/>
    <col min="4" max="4" width="28.85546875" customWidth="1"/>
    <col min="5" max="5" width="22.42578125" customWidth="1"/>
    <col min="6" max="6" width="22.7109375" customWidth="1"/>
    <col min="7" max="7" width="25" customWidth="1"/>
    <col min="8" max="8" width="26.7109375" customWidth="1"/>
    <col min="9" max="9" width="21.5703125" customWidth="1"/>
    <col min="10" max="10" width="21.28515625" customWidth="1"/>
    <col min="11" max="11" width="4.42578125" customWidth="1"/>
    <col min="12" max="12" width="22.7109375" customWidth="1"/>
    <col min="13" max="13" width="17.28515625" customWidth="1"/>
  </cols>
  <sheetData>
    <row r="1" spans="1:14" ht="26.25">
      <c r="A1" s="25" t="s">
        <v>1</v>
      </c>
      <c r="C1" s="13"/>
      <c r="D1" s="13"/>
      <c r="E1" s="13"/>
      <c r="F1" s="13"/>
      <c r="G1" s="13"/>
      <c r="H1" s="13"/>
      <c r="I1" s="13"/>
      <c r="J1" s="13"/>
      <c r="K1" s="13"/>
      <c r="L1" s="13"/>
      <c r="M1" s="13"/>
      <c r="N1" s="13"/>
    </row>
    <row r="2" spans="1:14" ht="17.25">
      <c r="A2" s="66" t="s">
        <v>9</v>
      </c>
      <c r="C2" s="13"/>
      <c r="D2" s="13"/>
      <c r="E2" s="13"/>
      <c r="F2" s="13"/>
      <c r="G2" s="13"/>
      <c r="H2" s="13"/>
      <c r="I2" s="13"/>
      <c r="J2" s="13"/>
      <c r="K2" s="13"/>
      <c r="L2" s="13"/>
      <c r="M2" s="13"/>
      <c r="N2" s="13"/>
    </row>
    <row r="3" spans="1:14" ht="16.5">
      <c r="A3" s="27" t="s">
        <v>81</v>
      </c>
      <c r="C3" s="13"/>
      <c r="D3" s="13"/>
      <c r="E3" s="13"/>
      <c r="F3" s="13"/>
      <c r="G3" s="13"/>
      <c r="H3" s="13"/>
      <c r="I3" s="13"/>
      <c r="J3" s="13"/>
      <c r="K3" s="13"/>
      <c r="L3" s="13"/>
      <c r="M3" s="13"/>
      <c r="N3" s="13"/>
    </row>
    <row r="4" spans="1:14" ht="16.5">
      <c r="A4" s="13"/>
      <c r="C4" s="13"/>
      <c r="D4" s="13"/>
      <c r="E4" s="28" t="s">
        <v>0</v>
      </c>
      <c r="F4" s="13"/>
      <c r="G4" s="13"/>
      <c r="H4" s="13"/>
      <c r="I4" s="13"/>
      <c r="J4" s="13"/>
      <c r="K4" s="13"/>
      <c r="L4" s="13"/>
      <c r="M4" s="13"/>
      <c r="N4" s="13"/>
    </row>
    <row r="5" spans="1:14" ht="18" thickBot="1">
      <c r="A5" s="66"/>
      <c r="C5" s="13"/>
      <c r="D5" s="13"/>
      <c r="E5" s="13"/>
      <c r="F5" s="13"/>
      <c r="G5" s="13"/>
      <c r="H5" s="13"/>
      <c r="I5" s="13"/>
      <c r="J5" s="13"/>
      <c r="K5" s="13"/>
      <c r="L5" s="13"/>
      <c r="M5" s="13"/>
      <c r="N5" s="13"/>
    </row>
    <row r="6" spans="1:14" ht="21" thickBot="1">
      <c r="A6" s="281" t="str">
        <f>+'S&amp;D'!A12</f>
        <v>Natural Gas Utility Distribution</v>
      </c>
      <c r="B6" s="204"/>
      <c r="C6" s="13"/>
      <c r="D6" s="13"/>
      <c r="E6" s="13"/>
      <c r="F6" s="13"/>
      <c r="G6" s="13"/>
      <c r="H6" s="13"/>
    </row>
    <row r="7" spans="1:14" ht="18" thickBot="1">
      <c r="A7" s="66"/>
      <c r="C7" s="30"/>
      <c r="D7" s="30"/>
      <c r="E7" s="30"/>
      <c r="F7" s="30"/>
      <c r="G7" s="30"/>
      <c r="H7" s="13"/>
    </row>
    <row r="8" spans="1:14" ht="26.25">
      <c r="C8" s="13"/>
      <c r="D8" s="13"/>
      <c r="E8" s="33" t="s">
        <v>380</v>
      </c>
      <c r="F8" s="13"/>
      <c r="G8" s="13"/>
      <c r="H8" s="13"/>
    </row>
    <row r="9" spans="1:14" ht="21" thickBot="1">
      <c r="B9" s="32"/>
      <c r="C9" s="30"/>
      <c r="D9" s="30"/>
      <c r="E9" s="34" t="s">
        <v>95</v>
      </c>
      <c r="F9" s="30"/>
      <c r="G9" s="30"/>
      <c r="H9" s="13"/>
    </row>
    <row r="10" spans="1:14" ht="17.25" thickBot="1">
      <c r="B10" s="35" t="s">
        <v>0</v>
      </c>
      <c r="C10" s="35" t="s">
        <v>0</v>
      </c>
      <c r="D10" s="35" t="s">
        <v>0</v>
      </c>
      <c r="E10" s="35" t="s">
        <v>0</v>
      </c>
      <c r="F10" s="35" t="s">
        <v>0</v>
      </c>
      <c r="G10" s="35" t="s">
        <v>0</v>
      </c>
      <c r="H10" s="30"/>
    </row>
    <row r="11" spans="1:14" ht="16.5">
      <c r="B11" s="36" t="s">
        <v>0</v>
      </c>
      <c r="C11" s="36" t="s">
        <v>3</v>
      </c>
      <c r="D11" s="36" t="s">
        <v>0</v>
      </c>
      <c r="E11" s="36" t="s">
        <v>381</v>
      </c>
      <c r="F11" s="36" t="s">
        <v>257</v>
      </c>
      <c r="G11" s="36" t="s">
        <v>382</v>
      </c>
      <c r="H11" s="36" t="s">
        <v>382</v>
      </c>
    </row>
    <row r="12" spans="1:14" ht="17.25" thickBot="1">
      <c r="B12" s="38" t="s">
        <v>2</v>
      </c>
      <c r="C12" s="38" t="s">
        <v>4</v>
      </c>
      <c r="D12" s="38" t="s">
        <v>28</v>
      </c>
      <c r="E12" s="38" t="s">
        <v>190</v>
      </c>
      <c r="F12" s="38" t="s">
        <v>383</v>
      </c>
      <c r="G12" s="38" t="s">
        <v>405</v>
      </c>
      <c r="H12" s="38" t="s">
        <v>29</v>
      </c>
    </row>
    <row r="13" spans="1:14">
      <c r="B13" s="40" t="s">
        <v>0</v>
      </c>
      <c r="C13" s="40" t="s">
        <v>0</v>
      </c>
      <c r="D13" s="41" t="s">
        <v>134</v>
      </c>
      <c r="E13" s="40" t="s">
        <v>135</v>
      </c>
      <c r="F13" s="40" t="s">
        <v>0</v>
      </c>
      <c r="G13" s="40" t="s">
        <v>135</v>
      </c>
      <c r="H13" s="40" t="s">
        <v>0</v>
      </c>
    </row>
    <row r="14" spans="1:14" ht="16.5">
      <c r="B14" s="36"/>
      <c r="C14" s="36"/>
      <c r="D14" s="36"/>
      <c r="E14" s="36"/>
      <c r="F14" s="36"/>
      <c r="G14" s="36"/>
      <c r="H14" s="36"/>
    </row>
    <row r="15" spans="1:14" ht="16.5">
      <c r="B15" s="13"/>
      <c r="C15" s="13"/>
      <c r="D15" s="13"/>
      <c r="E15" s="13"/>
      <c r="F15" s="13"/>
      <c r="G15" s="13"/>
      <c r="H15" s="13"/>
    </row>
    <row r="16" spans="1:14" ht="17.25">
      <c r="B16" s="66" t="str">
        <f>+'S&amp;D'!A22</f>
        <v>Atmos Energy Corp</v>
      </c>
      <c r="C16" s="93" t="str">
        <f>+'S&amp;D'!B22</f>
        <v>ATO</v>
      </c>
      <c r="D16" s="198">
        <f>+'S&amp;D'!G22</f>
        <v>112.07</v>
      </c>
      <c r="E16" s="310">
        <v>29.82</v>
      </c>
      <c r="F16" s="75">
        <f>D16/E16</f>
        <v>3.7582159624413145</v>
      </c>
      <c r="G16" s="310">
        <v>66.849999999999994</v>
      </c>
      <c r="H16" s="378">
        <f>D16/G16</f>
        <v>1.6764397905759163</v>
      </c>
    </row>
    <row r="17" spans="2:8" ht="17.25">
      <c r="B17" s="66" t="str">
        <f>+'S&amp;D'!A23</f>
        <v>Black Hills Corporation</v>
      </c>
      <c r="C17" s="93" t="str">
        <f>+'S&amp;D'!B23</f>
        <v>BKH</v>
      </c>
      <c r="D17" s="198">
        <f>+'S&amp;D'!G23</f>
        <v>70.34</v>
      </c>
      <c r="E17" s="310">
        <v>30.11</v>
      </c>
      <c r="F17" s="378">
        <f>D17/E17</f>
        <v>2.3361009631351712</v>
      </c>
      <c r="G17" s="310">
        <v>43.05</v>
      </c>
      <c r="H17" s="75">
        <f t="shared" ref="H17:H26" si="0">D17/G17</f>
        <v>1.6339140534262486</v>
      </c>
    </row>
    <row r="18" spans="2:8" ht="17.25">
      <c r="B18" s="66" t="str">
        <f>+'S&amp;D'!A24</f>
        <v>CenterPoint Energy Inc.</v>
      </c>
      <c r="C18" s="93" t="str">
        <f>+'S&amp;D'!B24</f>
        <v>CNP</v>
      </c>
      <c r="D18" s="198">
        <f>+'S&amp;D'!G24</f>
        <v>29.99</v>
      </c>
      <c r="E18" s="310">
        <v>14.8</v>
      </c>
      <c r="F18" s="75">
        <f>D18/E18</f>
        <v>2.0263513513513511</v>
      </c>
      <c r="G18" s="310">
        <v>15.95</v>
      </c>
      <c r="H18" s="75">
        <f t="shared" si="0"/>
        <v>1.8802507836990596</v>
      </c>
    </row>
    <row r="19" spans="2:8" ht="17.25">
      <c r="B19" s="66" t="str">
        <f>+'S&amp;D'!A25</f>
        <v>CMS Energy Corporation</v>
      </c>
      <c r="C19" s="93" t="str">
        <f>+'S&amp;D'!B25</f>
        <v>CMS</v>
      </c>
      <c r="D19" s="198">
        <f>+'S&amp;D'!G25</f>
        <v>63.33</v>
      </c>
      <c r="E19" s="310">
        <v>29.5</v>
      </c>
      <c r="F19" s="75">
        <f>D19/E19</f>
        <v>2.1467796610169492</v>
      </c>
      <c r="G19" s="310">
        <v>24.1</v>
      </c>
      <c r="H19" s="75">
        <f t="shared" si="0"/>
        <v>2.6278008298755187</v>
      </c>
    </row>
    <row r="20" spans="2:8" ht="17.25">
      <c r="B20" s="66" t="str">
        <f>+'S&amp;D'!A26</f>
        <v>New Jersey Resources Corp</v>
      </c>
      <c r="C20" s="93" t="str">
        <f>+'S&amp;D'!B26</f>
        <v>NJR</v>
      </c>
      <c r="D20" s="198">
        <f>+'S&amp;D'!G26</f>
        <v>49.62</v>
      </c>
      <c r="E20" s="310">
        <v>30.38</v>
      </c>
      <c r="F20" s="75">
        <f t="shared" ref="F20:F25" si="1">D20/E20</f>
        <v>1.6333113890717577</v>
      </c>
      <c r="G20" s="310">
        <v>19</v>
      </c>
      <c r="H20" s="75">
        <f t="shared" si="0"/>
        <v>2.6115789473684208</v>
      </c>
    </row>
    <row r="21" spans="2:8" ht="17.25">
      <c r="B21" s="66" t="str">
        <f>+'S&amp;D'!A27</f>
        <v>NISOURCE Inc.</v>
      </c>
      <c r="C21" s="93" t="str">
        <f>+'S&amp;D'!B27</f>
        <v>NI</v>
      </c>
      <c r="D21" s="198">
        <f>+'S&amp;D'!G27</f>
        <v>27.42</v>
      </c>
      <c r="E21" s="310">
        <v>13.3</v>
      </c>
      <c r="F21" s="378">
        <f t="shared" si="1"/>
        <v>2.0616541353383457</v>
      </c>
      <c r="G21" s="310">
        <v>14.7</v>
      </c>
      <c r="H21" s="75">
        <f t="shared" si="0"/>
        <v>1.8653061224489798</v>
      </c>
    </row>
    <row r="22" spans="2:8" ht="17.25">
      <c r="B22" s="66" t="str">
        <f>+'S&amp;D'!A28</f>
        <v xml:space="preserve">Northwest Natural Holding Company </v>
      </c>
      <c r="C22" s="93" t="str">
        <f>+'S&amp;D'!B28</f>
        <v>NWN</v>
      </c>
      <c r="D22" s="198">
        <f>+'S&amp;D'!G28</f>
        <v>47.59</v>
      </c>
      <c r="E22" s="310">
        <v>27.6</v>
      </c>
      <c r="F22" s="75">
        <f t="shared" si="1"/>
        <v>1.7242753623188407</v>
      </c>
      <c r="G22" s="310">
        <v>32</v>
      </c>
      <c r="H22" s="75">
        <f t="shared" si="0"/>
        <v>1.4871875000000001</v>
      </c>
    </row>
    <row r="23" spans="2:8" ht="17.25">
      <c r="B23" s="66" t="str">
        <f>+'S&amp;D'!A29</f>
        <v>One Gas INC</v>
      </c>
      <c r="C23" s="93" t="str">
        <f>+'S&amp;D'!B29</f>
        <v>OGS</v>
      </c>
      <c r="D23" s="198">
        <f>+'S&amp;D'!G29</f>
        <v>75.72</v>
      </c>
      <c r="E23" s="310">
        <v>43.75</v>
      </c>
      <c r="F23" s="75">
        <f t="shared" si="1"/>
        <v>1.7307428571428571</v>
      </c>
      <c r="G23" s="310">
        <v>46.8</v>
      </c>
      <c r="H23" s="75">
        <f t="shared" si="0"/>
        <v>1.617948717948718</v>
      </c>
    </row>
    <row r="24" spans="2:8" ht="17.25">
      <c r="B24" s="66" t="str">
        <f>+'S&amp;D'!A30</f>
        <v>Southwest Gas Holdings, Inc</v>
      </c>
      <c r="C24" s="93" t="str">
        <f>+'S&amp;D'!B30</f>
        <v>SWX</v>
      </c>
      <c r="D24" s="198">
        <f>+'S&amp;D'!G30</f>
        <v>61.88</v>
      </c>
      <c r="E24" s="310">
        <v>69.099999999999994</v>
      </c>
      <c r="F24" s="75">
        <f t="shared" si="1"/>
        <v>0.89551374819102758</v>
      </c>
      <c r="G24" s="310">
        <v>53.45</v>
      </c>
      <c r="H24" s="75">
        <f t="shared" si="0"/>
        <v>1.1577174929840972</v>
      </c>
    </row>
    <row r="25" spans="2:8" ht="16.5" customHeight="1">
      <c r="B25" s="66" t="str">
        <f>+'S&amp;D'!A31</f>
        <v>Spire Inc / Laclede Group Inc</v>
      </c>
      <c r="C25" s="93" t="str">
        <f>+'S&amp;D'!B31</f>
        <v>SR</v>
      </c>
      <c r="D25" s="198">
        <f>+'S&amp;D'!G31</f>
        <v>68.86</v>
      </c>
      <c r="E25" s="310">
        <v>41.88</v>
      </c>
      <c r="F25" s="75">
        <f t="shared" si="1"/>
        <v>1.6442215854823303</v>
      </c>
      <c r="G25" s="310">
        <v>49.08</v>
      </c>
      <c r="H25" s="378">
        <f t="shared" si="0"/>
        <v>1.4030154849225753</v>
      </c>
    </row>
    <row r="26" spans="2:8" ht="17.25">
      <c r="B26" s="66" t="str">
        <f>+'S&amp;D'!A32</f>
        <v>WEC Energy Group</v>
      </c>
      <c r="C26" s="93" t="str">
        <f>+'S&amp;D'!B32</f>
        <v>WEC</v>
      </c>
      <c r="D26" s="198">
        <f>+'S&amp;D'!G32</f>
        <v>93.76</v>
      </c>
      <c r="E26" s="310">
        <v>30.43</v>
      </c>
      <c r="F26" s="378">
        <f>D26/E26</f>
        <v>3.0811698981268485</v>
      </c>
      <c r="G26" s="310">
        <v>36.76</v>
      </c>
      <c r="H26" s="75">
        <f t="shared" si="0"/>
        <v>2.5505984766050056</v>
      </c>
    </row>
    <row r="27" spans="2:8" ht="10.5" customHeight="1" thickBot="1">
      <c r="B27" s="13"/>
      <c r="E27" s="74"/>
      <c r="F27" s="74"/>
      <c r="G27" s="74"/>
      <c r="H27" s="74"/>
    </row>
    <row r="28" spans="2:8" ht="17.25" thickTop="1">
      <c r="B28" s="13"/>
      <c r="D28" s="15" t="s">
        <v>56</v>
      </c>
      <c r="E28" s="17">
        <v>69.099999999999994</v>
      </c>
      <c r="F28" s="322">
        <v>3.76</v>
      </c>
      <c r="G28" s="17">
        <v>66.849999999999994</v>
      </c>
      <c r="H28" s="17">
        <v>2.63</v>
      </c>
    </row>
    <row r="29" spans="2:8" ht="16.5">
      <c r="B29" s="13"/>
      <c r="D29" s="15" t="s">
        <v>57</v>
      </c>
      <c r="E29" s="315">
        <v>13.3</v>
      </c>
      <c r="F29" s="328">
        <v>0.9</v>
      </c>
      <c r="G29" s="315">
        <v>14.7</v>
      </c>
      <c r="H29" s="315">
        <v>1.1599999999999999</v>
      </c>
    </row>
    <row r="30" spans="2:8" ht="16.5">
      <c r="B30" s="13"/>
      <c r="D30" s="15" t="s">
        <v>18</v>
      </c>
      <c r="E30" s="59" t="s">
        <v>0</v>
      </c>
      <c r="F30" s="22">
        <f>MEDIAN(F16:F26)</f>
        <v>2.0263513513513511</v>
      </c>
      <c r="G30" s="59" t="s">
        <v>0</v>
      </c>
      <c r="H30" s="22">
        <f>MEDIAN(H16:H26)</f>
        <v>1.6764397905759163</v>
      </c>
    </row>
    <row r="31" spans="2:8" ht="16.5">
      <c r="B31" s="13"/>
      <c r="D31" s="15" t="s">
        <v>474</v>
      </c>
      <c r="E31" s="76" t="s">
        <v>0</v>
      </c>
      <c r="F31" s="22">
        <f>AVERAGE(F16:F26)</f>
        <v>2.094394264874254</v>
      </c>
      <c r="G31" s="76" t="s">
        <v>0</v>
      </c>
      <c r="H31" s="22">
        <f>AVERAGE(H16:H26)</f>
        <v>1.8647052908958672</v>
      </c>
    </row>
    <row r="32" spans="2:8" ht="17.25" thickBot="1">
      <c r="B32" s="13"/>
      <c r="C32" s="13"/>
      <c r="D32" s="13"/>
      <c r="E32" s="13"/>
      <c r="F32" s="13"/>
      <c r="G32" s="13"/>
      <c r="H32" s="13"/>
    </row>
    <row r="33" spans="1:8" ht="27" thickBot="1">
      <c r="B33" s="78" t="s">
        <v>0</v>
      </c>
      <c r="C33" s="13"/>
      <c r="D33" s="25" t="s">
        <v>145</v>
      </c>
      <c r="E33" s="25"/>
      <c r="F33" s="393">
        <v>2.0899999999999998E-2</v>
      </c>
      <c r="H33" s="393">
        <v>1.8599999999999998E-2</v>
      </c>
    </row>
    <row r="34" spans="1:8" ht="16.5">
      <c r="B34" s="78" t="s">
        <v>0</v>
      </c>
      <c r="C34" s="13"/>
      <c r="D34" s="13"/>
      <c r="E34" s="13"/>
      <c r="F34" s="13"/>
      <c r="G34" s="13"/>
      <c r="H34" s="13"/>
    </row>
    <row r="35" spans="1:8" ht="16.5">
      <c r="B35" s="78"/>
      <c r="C35" s="13"/>
      <c r="D35" s="13"/>
      <c r="E35" s="13"/>
      <c r="F35" s="13"/>
      <c r="G35" s="13"/>
      <c r="H35" s="13"/>
    </row>
    <row r="36" spans="1:8" ht="17.25">
      <c r="A36" s="114" t="s">
        <v>384</v>
      </c>
      <c r="B36" s="78"/>
      <c r="C36" s="13"/>
      <c r="D36" s="13"/>
      <c r="E36" s="13"/>
      <c r="F36" s="13"/>
      <c r="G36" s="13"/>
      <c r="H36" s="13"/>
    </row>
    <row r="37" spans="1:8" ht="17.25">
      <c r="A37" s="114" t="s">
        <v>385</v>
      </c>
      <c r="B37" s="78"/>
      <c r="C37" s="13"/>
      <c r="D37" s="13"/>
      <c r="E37" s="13"/>
      <c r="F37" s="13"/>
      <c r="G37" s="13"/>
      <c r="H37" s="13"/>
    </row>
    <row r="38" spans="1:8" ht="16.5">
      <c r="H38" s="13"/>
    </row>
    <row r="39" spans="1:8" ht="17.25">
      <c r="A39" s="114" t="s">
        <v>386</v>
      </c>
      <c r="H39" s="13"/>
    </row>
    <row r="40" spans="1:8" ht="17.25">
      <c r="A40" s="114" t="s">
        <v>387</v>
      </c>
    </row>
    <row r="41" spans="1:8" ht="17.25">
      <c r="A41" s="114" t="s">
        <v>388</v>
      </c>
    </row>
    <row r="47" spans="1:8" ht="17.25">
      <c r="A47" s="114"/>
      <c r="C47" s="291" t="s">
        <v>0</v>
      </c>
    </row>
    <row r="48" spans="1:8" ht="17.25">
      <c r="C48" s="291" t="s">
        <v>0</v>
      </c>
    </row>
    <row r="49" spans="3:3" ht="17.25">
      <c r="C49" s="291" t="s">
        <v>0</v>
      </c>
    </row>
  </sheetData>
  <pageMargins left="0.25" right="0.25" top="0.75" bottom="0.75" header="0.3" footer="0.3"/>
  <pageSetup scale="45" orientation="landscape" r:id="rId1"/>
  <rowBreaks count="1" manualBreakCount="1">
    <brk id="42"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K31"/>
  <sheetViews>
    <sheetView view="pageBreakPreview" topLeftCell="A6" zoomScale="80" zoomScaleNormal="80" zoomScaleSheetLayoutView="80" workbookViewId="0">
      <selection activeCell="G31" sqref="G31"/>
    </sheetView>
  </sheetViews>
  <sheetFormatPr defaultRowHeight="15"/>
  <cols>
    <col min="1" max="1" width="22.28515625" customWidth="1"/>
    <col min="2" max="2" width="39.7109375" customWidth="1"/>
    <col min="3" max="3" width="16.85546875" customWidth="1"/>
    <col min="4" max="4" width="35.28515625" customWidth="1"/>
    <col min="5" max="5" width="18" customWidth="1"/>
    <col min="6" max="6" width="20.85546875" bestFit="1" customWidth="1"/>
    <col min="7" max="7" width="22" customWidth="1"/>
    <col min="8" max="8" width="23.7109375" customWidth="1"/>
  </cols>
  <sheetData>
    <row r="1" spans="1:11" ht="26.25">
      <c r="A1" s="25" t="s">
        <v>1</v>
      </c>
      <c r="C1" s="13"/>
      <c r="D1" s="13"/>
      <c r="E1" s="13"/>
      <c r="F1" s="13"/>
      <c r="G1" s="13"/>
      <c r="H1" s="13"/>
      <c r="I1" s="13"/>
      <c r="J1" s="13"/>
      <c r="K1" s="13"/>
    </row>
    <row r="2" spans="1:11" ht="17.25">
      <c r="A2" s="26" t="s">
        <v>9</v>
      </c>
      <c r="C2" s="13"/>
      <c r="D2" s="13"/>
      <c r="E2" s="13"/>
      <c r="F2" s="13"/>
      <c r="G2" s="13"/>
      <c r="H2" s="13"/>
      <c r="I2" s="13"/>
      <c r="J2" s="13"/>
      <c r="K2" s="13"/>
    </row>
    <row r="3" spans="1:11" ht="17.25" customHeight="1">
      <c r="A3" s="27" t="s">
        <v>81</v>
      </c>
      <c r="C3" s="13"/>
      <c r="D3" s="13"/>
      <c r="E3" s="13"/>
      <c r="F3" s="13"/>
      <c r="G3" s="13"/>
      <c r="H3" s="13"/>
      <c r="I3" s="13"/>
      <c r="J3" s="13"/>
      <c r="K3" s="13"/>
    </row>
    <row r="4" spans="1:11" ht="17.25" customHeight="1">
      <c r="B4" s="27"/>
      <c r="C4" s="13"/>
      <c r="D4" s="13"/>
      <c r="E4" s="13"/>
      <c r="F4" s="13"/>
      <c r="G4" s="13"/>
      <c r="H4" s="13"/>
      <c r="I4" s="13"/>
      <c r="J4" s="13"/>
      <c r="K4" s="13"/>
    </row>
    <row r="5" spans="1:11" ht="17.25" customHeight="1">
      <c r="B5" s="159"/>
      <c r="C5" s="13"/>
      <c r="D5" s="13"/>
      <c r="E5" s="13"/>
      <c r="F5" s="13"/>
      <c r="G5" s="13"/>
      <c r="H5" s="13"/>
      <c r="I5" s="13"/>
      <c r="J5" s="13"/>
      <c r="K5" s="13"/>
    </row>
    <row r="6" spans="1:11" ht="17.25" customHeight="1">
      <c r="B6" s="159"/>
      <c r="C6" s="13"/>
      <c r="D6" s="13"/>
      <c r="E6" s="13"/>
      <c r="F6" s="13"/>
      <c r="G6" s="13"/>
      <c r="H6" s="13"/>
      <c r="I6" s="13"/>
      <c r="J6" s="13"/>
      <c r="K6" s="13"/>
    </row>
    <row r="7" spans="1:11" ht="17.25" customHeight="1">
      <c r="B7" s="159"/>
      <c r="C7" s="13"/>
      <c r="D7" s="13"/>
      <c r="E7" s="13"/>
      <c r="F7" s="13"/>
      <c r="G7" s="13"/>
      <c r="H7" s="13"/>
      <c r="I7" s="13"/>
      <c r="J7" s="13"/>
      <c r="K7" s="13"/>
    </row>
    <row r="8" spans="1:11" ht="16.5">
      <c r="B8" s="27"/>
      <c r="C8" s="13"/>
      <c r="D8" s="13"/>
      <c r="E8" s="13"/>
      <c r="F8" s="13"/>
      <c r="G8" s="13"/>
      <c r="H8" s="13"/>
      <c r="I8" s="13"/>
      <c r="J8" s="13"/>
      <c r="K8" s="13"/>
    </row>
    <row r="9" spans="1:11" ht="20.25">
      <c r="B9" s="13"/>
      <c r="C9" s="13"/>
      <c r="D9" s="81" t="s">
        <v>0</v>
      </c>
      <c r="E9" s="13"/>
      <c r="F9" s="13"/>
      <c r="G9" s="13"/>
      <c r="H9" s="13"/>
      <c r="I9" s="13"/>
      <c r="J9" s="13"/>
      <c r="K9" s="13"/>
    </row>
    <row r="10" spans="1:11" ht="20.25">
      <c r="B10" s="13"/>
      <c r="C10" s="13"/>
      <c r="D10" s="81" t="s">
        <v>83</v>
      </c>
      <c r="E10" s="13"/>
      <c r="F10" s="13"/>
      <c r="G10" s="13"/>
      <c r="H10" s="13"/>
      <c r="I10" s="13"/>
      <c r="J10" s="13"/>
      <c r="K10" s="13"/>
    </row>
    <row r="11" spans="1:11" ht="16.5">
      <c r="B11" s="13"/>
      <c r="C11" s="13"/>
      <c r="D11" s="13"/>
      <c r="E11" s="13"/>
      <c r="F11" s="13"/>
      <c r="G11" s="13"/>
      <c r="H11" s="13"/>
      <c r="I11" s="13"/>
      <c r="J11" s="13"/>
      <c r="K11" s="13"/>
    </row>
    <row r="12" spans="1:11" ht="16.5">
      <c r="B12" s="13"/>
      <c r="C12" s="13"/>
      <c r="D12" s="13"/>
      <c r="E12" s="13"/>
      <c r="F12" s="13"/>
      <c r="G12" s="13"/>
      <c r="H12" s="13"/>
      <c r="I12" s="13"/>
      <c r="J12" s="13"/>
      <c r="K12" s="13"/>
    </row>
    <row r="13" spans="1:11" ht="16.5">
      <c r="B13" s="13"/>
      <c r="C13" s="13"/>
      <c r="D13" s="13"/>
      <c r="E13" s="28"/>
      <c r="F13" s="13"/>
      <c r="G13" s="13"/>
      <c r="H13" s="13"/>
      <c r="I13" s="13"/>
      <c r="J13" s="13"/>
      <c r="K13" s="13"/>
    </row>
    <row r="14" spans="1:11" ht="16.5">
      <c r="B14" s="13"/>
      <c r="C14" s="13"/>
      <c r="D14" s="13"/>
      <c r="E14" s="13"/>
      <c r="F14" s="13"/>
      <c r="G14" s="13"/>
      <c r="H14" s="13"/>
      <c r="I14" s="13"/>
      <c r="J14" s="13"/>
      <c r="K14" s="13"/>
    </row>
    <row r="15" spans="1:11" ht="17.25" thickBot="1">
      <c r="B15" s="13"/>
      <c r="C15" s="30"/>
      <c r="D15" s="30"/>
      <c r="E15" s="30"/>
      <c r="F15" s="13"/>
      <c r="G15" s="13"/>
      <c r="H15" s="13"/>
      <c r="I15" s="13"/>
      <c r="J15" s="13"/>
      <c r="K15" s="13"/>
    </row>
    <row r="16" spans="1:11" ht="26.25">
      <c r="B16" s="13"/>
      <c r="C16" s="13"/>
      <c r="D16" s="33" t="str">
        <f>+'S&amp;D'!A12</f>
        <v>Natural Gas Utility Distribution</v>
      </c>
      <c r="E16" s="13"/>
      <c r="F16" s="13"/>
      <c r="G16" s="13"/>
      <c r="H16" s="13"/>
      <c r="I16" s="13"/>
      <c r="J16" s="13"/>
      <c r="K16" s="13"/>
    </row>
    <row r="17" spans="2:11" ht="17.25" thickBot="1">
      <c r="B17" s="13"/>
      <c r="C17" s="30"/>
      <c r="D17" s="38" t="s">
        <v>0</v>
      </c>
      <c r="E17" s="30"/>
      <c r="F17" s="13"/>
      <c r="G17" s="13"/>
      <c r="H17" s="13"/>
      <c r="I17" s="13"/>
      <c r="J17" s="13"/>
      <c r="K17" s="13"/>
    </row>
    <row r="18" spans="2:11" ht="17.25" thickBot="1">
      <c r="B18" s="30"/>
      <c r="C18" s="30"/>
      <c r="D18" s="38" t="s">
        <v>0</v>
      </c>
      <c r="E18" s="30"/>
      <c r="F18" s="30"/>
      <c r="G18" s="30"/>
      <c r="H18" s="13"/>
      <c r="I18" s="13"/>
      <c r="J18" s="13"/>
      <c r="K18" s="13"/>
    </row>
    <row r="19" spans="2:11" ht="16.5">
      <c r="B19" s="36" t="s">
        <v>32</v>
      </c>
      <c r="C19" s="36" t="s">
        <v>33</v>
      </c>
      <c r="D19" s="36" t="s">
        <v>34</v>
      </c>
      <c r="E19" s="36" t="s">
        <v>87</v>
      </c>
      <c r="F19" s="36" t="s">
        <v>34</v>
      </c>
      <c r="G19" s="36" t="s">
        <v>35</v>
      </c>
      <c r="H19" s="13"/>
      <c r="I19" s="13"/>
      <c r="J19" s="13"/>
      <c r="K19" s="13"/>
    </row>
    <row r="20" spans="2:11" ht="17.25" thickBot="1">
      <c r="B20" s="38" t="s">
        <v>33</v>
      </c>
      <c r="C20" s="38" t="s">
        <v>36</v>
      </c>
      <c r="D20" s="38" t="s">
        <v>37</v>
      </c>
      <c r="E20" s="38" t="s">
        <v>23</v>
      </c>
      <c r="F20" s="38" t="s">
        <v>38</v>
      </c>
      <c r="G20" s="38" t="s">
        <v>39</v>
      </c>
      <c r="H20" s="13"/>
      <c r="I20" s="13"/>
      <c r="J20" s="13"/>
      <c r="K20" s="13"/>
    </row>
    <row r="21" spans="2:11" ht="16.5">
      <c r="B21" s="40" t="s">
        <v>0</v>
      </c>
      <c r="C21" s="40" t="s">
        <v>0</v>
      </c>
      <c r="D21" s="40" t="s">
        <v>0</v>
      </c>
      <c r="E21" s="40" t="s">
        <v>0</v>
      </c>
      <c r="F21" s="40" t="s">
        <v>0</v>
      </c>
      <c r="G21" s="40" t="s">
        <v>0</v>
      </c>
      <c r="H21" s="13"/>
      <c r="I21" s="13"/>
      <c r="J21" s="13"/>
      <c r="K21" s="13"/>
    </row>
    <row r="22" spans="2:11" ht="16.5">
      <c r="B22" s="36"/>
      <c r="C22" s="36"/>
      <c r="D22" s="36"/>
      <c r="E22" s="36"/>
      <c r="F22" s="36"/>
      <c r="G22" s="36"/>
      <c r="H22" s="13"/>
      <c r="I22" s="13"/>
      <c r="J22" s="13"/>
      <c r="K22" s="13"/>
    </row>
    <row r="23" spans="2:11" ht="17.25">
      <c r="B23" s="93" t="s">
        <v>40</v>
      </c>
      <c r="C23" s="151">
        <f>'S&amp;D'!I58</f>
        <v>0.59</v>
      </c>
      <c r="D23" s="151">
        <f>+'Indicated Yield Equity Rates'!D53</f>
        <v>9.1200000000000003E-2</v>
      </c>
      <c r="E23" s="109" t="s">
        <v>41</v>
      </c>
      <c r="F23" s="151">
        <f>+D23</f>
        <v>9.1200000000000003E-2</v>
      </c>
      <c r="G23" s="152">
        <f>+F23*C23</f>
        <v>5.3808000000000002E-2</v>
      </c>
      <c r="H23" s="13"/>
      <c r="I23" s="13"/>
      <c r="J23" s="13"/>
      <c r="K23" s="13"/>
    </row>
    <row r="24" spans="2:11" ht="17.25">
      <c r="B24" s="93" t="s">
        <v>0</v>
      </c>
      <c r="C24" s="109" t="s">
        <v>0</v>
      </c>
      <c r="D24" s="109" t="s">
        <v>0</v>
      </c>
      <c r="E24" s="109" t="s">
        <v>0</v>
      </c>
      <c r="F24" s="153" t="s">
        <v>0</v>
      </c>
      <c r="G24" s="134" t="s">
        <v>0</v>
      </c>
      <c r="H24" s="13"/>
      <c r="I24" s="13"/>
      <c r="J24" s="13"/>
      <c r="K24" s="13"/>
    </row>
    <row r="25" spans="2:11" ht="17.25">
      <c r="B25" s="93" t="s">
        <v>42</v>
      </c>
      <c r="C25" s="151">
        <f>'S&amp;D'!J58</f>
        <v>0.41</v>
      </c>
      <c r="D25" s="151">
        <f>+'Yield Debt'!J33</f>
        <v>5.8500000000000003E-2</v>
      </c>
      <c r="E25" s="151">
        <v>0.26</v>
      </c>
      <c r="F25" s="151">
        <f>+D25*(1-E25)</f>
        <v>4.3290000000000002E-2</v>
      </c>
      <c r="G25" s="152">
        <f>+C25*F25</f>
        <v>1.7748900000000001E-2</v>
      </c>
      <c r="H25" s="13"/>
      <c r="I25" s="13"/>
      <c r="J25" s="13"/>
      <c r="K25" s="13"/>
    </row>
    <row r="26" spans="2:11" ht="18" thickBot="1">
      <c r="B26" s="102" t="s">
        <v>0</v>
      </c>
      <c r="C26" s="102" t="s">
        <v>0</v>
      </c>
      <c r="D26" s="102" t="s">
        <v>0</v>
      </c>
      <c r="E26" s="102" t="s">
        <v>0</v>
      </c>
      <c r="F26" s="154" t="s">
        <v>0</v>
      </c>
      <c r="G26" s="155" t="s">
        <v>0</v>
      </c>
      <c r="H26" s="13"/>
      <c r="I26" s="13"/>
      <c r="J26" s="13"/>
      <c r="K26" s="13"/>
    </row>
    <row r="27" spans="2:11" ht="17.25">
      <c r="B27" s="93" t="s">
        <v>90</v>
      </c>
      <c r="C27" s="156">
        <f>+C23+C25</f>
        <v>1</v>
      </c>
      <c r="D27" s="93" t="s">
        <v>0</v>
      </c>
      <c r="E27" s="93" t="s">
        <v>0</v>
      </c>
      <c r="F27" s="157" t="s">
        <v>0</v>
      </c>
      <c r="G27" s="152">
        <f>+G23+G25</f>
        <v>7.1556900000000007E-2</v>
      </c>
      <c r="H27" s="13"/>
      <c r="I27" s="13"/>
      <c r="J27" s="13"/>
      <c r="K27" s="13"/>
    </row>
    <row r="28" spans="2:11" ht="18" thickBot="1">
      <c r="B28" s="66"/>
      <c r="C28" s="66"/>
      <c r="D28" s="66"/>
      <c r="E28" s="66"/>
      <c r="F28" s="66"/>
      <c r="G28" s="158"/>
      <c r="H28" s="13"/>
      <c r="I28" s="13"/>
      <c r="J28" s="13"/>
      <c r="K28" s="13"/>
    </row>
    <row r="29" spans="2:11" ht="18" thickBot="1">
      <c r="B29" s="13"/>
      <c r="C29" s="13"/>
      <c r="D29" s="13"/>
      <c r="E29" s="13"/>
      <c r="F29" s="221" t="s">
        <v>93</v>
      </c>
      <c r="G29" s="205">
        <v>7.1599999999999997E-2</v>
      </c>
      <c r="H29" s="13"/>
      <c r="I29" s="13"/>
      <c r="J29" s="13"/>
      <c r="K29" s="13"/>
    </row>
    <row r="30" spans="2:11" ht="16.5">
      <c r="B30" s="13"/>
      <c r="C30" s="13"/>
      <c r="D30" s="13"/>
      <c r="E30" s="13"/>
      <c r="F30" s="13"/>
      <c r="G30" s="13"/>
      <c r="H30" s="13"/>
      <c r="I30" s="13"/>
      <c r="J30" s="13"/>
      <c r="K30" s="13"/>
    </row>
    <row r="31" spans="2:11" ht="16.5">
      <c r="B31" s="13"/>
      <c r="C31" s="13"/>
      <c r="D31" s="13"/>
      <c r="E31" s="13"/>
      <c r="F31" s="13"/>
      <c r="G31" s="13"/>
      <c r="H31" s="13"/>
      <c r="I31" s="13"/>
      <c r="J31" s="13"/>
      <c r="K31" s="13"/>
    </row>
  </sheetData>
  <pageMargins left="0.25" right="0.25" top="0.75" bottom="0.75" header="0.3" footer="0.3"/>
  <pageSetup scale="6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
  <sheetViews>
    <sheetView workbookViewId="0">
      <selection activeCell="O2" sqref="O2"/>
    </sheetView>
  </sheetViews>
  <sheetFormatPr defaultRowHeight="1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5631F-B284-4F75-B05C-C409AB53D71E}">
  <sheetPr>
    <tabColor rgb="FF92D050"/>
    <pageSetUpPr fitToPage="1"/>
  </sheetPr>
  <dimension ref="A1:K64"/>
  <sheetViews>
    <sheetView view="pageBreakPreview" topLeftCell="A41" zoomScale="80" zoomScaleNormal="80" zoomScaleSheetLayoutView="80" workbookViewId="0">
      <selection activeCell="G31" sqref="G31"/>
    </sheetView>
  </sheetViews>
  <sheetFormatPr defaultRowHeight="15"/>
  <cols>
    <col min="1" max="1" width="17.28515625" customWidth="1"/>
    <col min="2" max="2" width="31.7109375" customWidth="1"/>
    <col min="3" max="3" width="16.5703125" customWidth="1"/>
    <col min="4" max="4" width="35.28515625" customWidth="1"/>
    <col min="5" max="5" width="14.85546875" customWidth="1"/>
    <col min="6" max="6" width="25.85546875" customWidth="1"/>
    <col min="7" max="7" width="24.140625" customWidth="1"/>
    <col min="8" max="8" width="17.7109375" customWidth="1"/>
  </cols>
  <sheetData>
    <row r="1" spans="1:11" ht="26.25">
      <c r="A1" s="25" t="s">
        <v>1</v>
      </c>
      <c r="C1" s="13"/>
      <c r="D1" s="13"/>
      <c r="E1" s="13"/>
      <c r="F1" s="13"/>
      <c r="G1" s="13"/>
      <c r="H1" s="13"/>
      <c r="I1" s="13"/>
      <c r="J1" s="13"/>
      <c r="K1" s="13"/>
    </row>
    <row r="2" spans="1:11" ht="17.25">
      <c r="A2" s="26" t="s">
        <v>9</v>
      </c>
      <c r="C2" s="13"/>
      <c r="D2" s="13"/>
      <c r="E2" s="13"/>
      <c r="F2" s="13"/>
      <c r="G2" s="13"/>
      <c r="H2" s="13"/>
      <c r="I2" s="13"/>
      <c r="J2" s="13"/>
      <c r="K2" s="13"/>
    </row>
    <row r="3" spans="1:11" ht="16.5">
      <c r="A3" s="27" t="s">
        <v>81</v>
      </c>
      <c r="C3" s="13"/>
      <c r="D3" s="13"/>
      <c r="E3" s="13"/>
      <c r="F3" s="13"/>
      <c r="G3" s="13"/>
      <c r="H3" s="13"/>
      <c r="I3" s="13"/>
      <c r="J3" s="13"/>
      <c r="K3" s="13"/>
    </row>
    <row r="4" spans="1:11" ht="16.5">
      <c r="B4" s="27"/>
      <c r="C4" s="13"/>
      <c r="D4" s="13"/>
      <c r="E4" s="13"/>
      <c r="F4" s="13"/>
      <c r="G4" s="13"/>
      <c r="H4" s="13"/>
      <c r="I4" s="13"/>
      <c r="J4" s="13"/>
      <c r="K4" s="13"/>
    </row>
    <row r="5" spans="1:11" ht="16.5">
      <c r="B5" s="27"/>
      <c r="C5" s="13"/>
      <c r="D5" s="13"/>
      <c r="E5" s="13"/>
      <c r="F5" s="13"/>
      <c r="G5" s="13"/>
      <c r="H5" s="13"/>
      <c r="I5" s="13"/>
      <c r="J5" s="13"/>
      <c r="K5" s="13"/>
    </row>
    <row r="6" spans="1:11" ht="16.5">
      <c r="B6" s="27"/>
      <c r="C6" s="13"/>
      <c r="D6" s="13"/>
      <c r="E6" s="13"/>
      <c r="F6" s="13"/>
      <c r="G6" s="13"/>
      <c r="H6" s="13"/>
      <c r="I6" s="13"/>
      <c r="J6" s="13"/>
      <c r="K6" s="13"/>
    </row>
    <row r="7" spans="1:11" ht="16.5">
      <c r="B7" s="27"/>
      <c r="C7" s="13"/>
      <c r="D7" s="13"/>
      <c r="E7" s="13"/>
      <c r="F7" s="13"/>
      <c r="G7" s="13"/>
      <c r="H7" s="13"/>
      <c r="I7" s="13"/>
      <c r="J7" s="13"/>
      <c r="K7" s="13"/>
    </row>
    <row r="8" spans="1:11" ht="16.5">
      <c r="B8" s="27"/>
      <c r="C8" s="13"/>
      <c r="D8" s="13"/>
      <c r="E8" s="13"/>
      <c r="F8" s="13"/>
      <c r="G8" s="13"/>
      <c r="H8" s="13"/>
      <c r="I8" s="13"/>
      <c r="J8" s="13"/>
      <c r="K8" s="13"/>
    </row>
    <row r="9" spans="1:11" ht="16.5">
      <c r="B9" s="27"/>
      <c r="C9" s="13"/>
      <c r="D9" s="13"/>
      <c r="E9" s="13"/>
      <c r="F9" s="13"/>
      <c r="G9" s="13"/>
      <c r="H9" s="13"/>
      <c r="I9" s="13"/>
      <c r="J9" s="13"/>
      <c r="K9" s="13"/>
    </row>
    <row r="10" spans="1:11" ht="20.25">
      <c r="B10" s="13"/>
      <c r="C10" s="13"/>
      <c r="D10" s="81" t="s">
        <v>0</v>
      </c>
      <c r="E10" s="13"/>
      <c r="F10" s="13"/>
      <c r="G10" s="13"/>
      <c r="H10" s="13"/>
      <c r="I10" s="13"/>
      <c r="J10" s="13"/>
      <c r="K10" s="13"/>
    </row>
    <row r="11" spans="1:11" ht="20.25">
      <c r="B11" s="13"/>
      <c r="C11" s="13"/>
      <c r="D11" s="81" t="s">
        <v>82</v>
      </c>
      <c r="E11" s="13"/>
      <c r="F11" s="13"/>
      <c r="G11" s="13"/>
      <c r="H11" s="13"/>
      <c r="I11" s="13"/>
      <c r="J11" s="13"/>
      <c r="K11" s="13"/>
    </row>
    <row r="12" spans="1:11" ht="16.5">
      <c r="B12" s="13"/>
      <c r="C12" s="13"/>
      <c r="D12" s="13"/>
      <c r="E12" s="13"/>
      <c r="F12" s="13"/>
      <c r="G12" s="13"/>
      <c r="H12" s="13"/>
      <c r="I12" s="13"/>
      <c r="J12" s="13"/>
      <c r="K12" s="13"/>
    </row>
    <row r="13" spans="1:11" ht="16.5">
      <c r="B13" s="13"/>
      <c r="C13" s="13"/>
      <c r="D13" s="13"/>
      <c r="E13" s="13"/>
      <c r="F13" s="13"/>
      <c r="G13" s="13"/>
      <c r="H13" s="13"/>
      <c r="I13" s="13"/>
      <c r="J13" s="13"/>
      <c r="K13" s="13"/>
    </row>
    <row r="14" spans="1:11" ht="17.25" thickBot="1">
      <c r="B14" s="13"/>
      <c r="C14" s="30"/>
      <c r="D14" s="30"/>
      <c r="E14" s="30"/>
      <c r="F14" s="13"/>
      <c r="G14" s="13"/>
      <c r="H14" s="13"/>
      <c r="I14" s="13"/>
      <c r="J14" s="13"/>
      <c r="K14" s="13"/>
    </row>
    <row r="15" spans="1:11" ht="26.25">
      <c r="B15" s="13"/>
      <c r="C15" s="13"/>
      <c r="D15" s="33" t="str">
        <f>+'S&amp;D'!A12</f>
        <v>Natural Gas Utility Distribution</v>
      </c>
      <c r="E15" s="13"/>
      <c r="F15" s="13"/>
      <c r="G15" s="13"/>
      <c r="H15" s="13"/>
      <c r="I15" s="13"/>
      <c r="J15" s="13"/>
      <c r="K15" s="13"/>
    </row>
    <row r="16" spans="1:11" ht="21" thickBot="1">
      <c r="B16" s="13"/>
      <c r="C16" s="30"/>
      <c r="D16" s="150" t="s">
        <v>89</v>
      </c>
      <c r="E16" s="30"/>
      <c r="F16" s="13"/>
      <c r="G16" s="13"/>
      <c r="H16" s="13"/>
      <c r="I16" s="13"/>
      <c r="J16" s="13"/>
      <c r="K16" s="13"/>
    </row>
    <row r="17" spans="2:11" ht="16.5">
      <c r="H17" s="13"/>
      <c r="I17" s="13"/>
      <c r="J17" s="13"/>
      <c r="K17" s="13"/>
    </row>
    <row r="18" spans="2:11" ht="17.25" thickBot="1">
      <c r="B18" s="30"/>
      <c r="C18" s="30"/>
      <c r="D18" s="38" t="s">
        <v>0</v>
      </c>
      <c r="E18" s="30"/>
      <c r="F18" s="30"/>
      <c r="G18" s="30"/>
      <c r="H18" s="13"/>
      <c r="I18" s="13"/>
      <c r="J18" s="13"/>
      <c r="K18" s="13"/>
    </row>
    <row r="19" spans="2:11" ht="16.5">
      <c r="B19" s="36" t="s">
        <v>32</v>
      </c>
      <c r="C19" s="36" t="s">
        <v>33</v>
      </c>
      <c r="D19" s="36" t="s">
        <v>86</v>
      </c>
      <c r="E19" s="36" t="s">
        <v>87</v>
      </c>
      <c r="F19" s="36" t="s">
        <v>85</v>
      </c>
      <c r="G19" s="36" t="s">
        <v>35</v>
      </c>
      <c r="H19" s="13"/>
      <c r="I19" s="13"/>
      <c r="J19" s="13"/>
      <c r="K19" s="13"/>
    </row>
    <row r="20" spans="2:11" ht="17.25" thickBot="1">
      <c r="B20" s="38" t="s">
        <v>33</v>
      </c>
      <c r="C20" s="38" t="s">
        <v>36</v>
      </c>
      <c r="D20" s="38" t="s">
        <v>37</v>
      </c>
      <c r="E20" s="38" t="s">
        <v>23</v>
      </c>
      <c r="F20" s="38" t="s">
        <v>38</v>
      </c>
      <c r="G20" s="38" t="s">
        <v>88</v>
      </c>
      <c r="H20" s="13"/>
      <c r="I20" s="13"/>
      <c r="J20" s="13"/>
      <c r="K20" s="13"/>
    </row>
    <row r="21" spans="2:11" ht="16.5">
      <c r="B21" s="40" t="s">
        <v>0</v>
      </c>
      <c r="C21" s="40" t="s">
        <v>0</v>
      </c>
      <c r="D21" s="40" t="s">
        <v>0</v>
      </c>
      <c r="E21" s="40" t="s">
        <v>0</v>
      </c>
      <c r="F21" s="40" t="s">
        <v>0</v>
      </c>
      <c r="G21" s="40" t="s">
        <v>0</v>
      </c>
      <c r="H21" s="13"/>
      <c r="I21" s="13"/>
      <c r="J21" s="13"/>
      <c r="K21" s="13"/>
    </row>
    <row r="22" spans="2:11" ht="16.5">
      <c r="B22" s="36"/>
      <c r="C22" s="36"/>
      <c r="D22" s="36"/>
      <c r="E22" s="36"/>
      <c r="F22" s="36"/>
      <c r="G22" s="36"/>
      <c r="H22" s="13"/>
      <c r="I22" s="13"/>
      <c r="J22" s="13"/>
      <c r="K22" s="13"/>
    </row>
    <row r="23" spans="2:11" ht="17.25">
      <c r="B23" s="93" t="s">
        <v>40</v>
      </c>
      <c r="C23" s="151">
        <f>'S&amp;D'!I58</f>
        <v>0.59</v>
      </c>
      <c r="D23" s="151">
        <f>+'Direct NOPAT'!J37</f>
        <v>5.3749999999999999E-2</v>
      </c>
      <c r="E23" s="109" t="s">
        <v>41</v>
      </c>
      <c r="F23" s="151">
        <f>+D23</f>
        <v>5.3749999999999999E-2</v>
      </c>
      <c r="G23" s="152">
        <f>+F23*C23</f>
        <v>3.1712499999999998E-2</v>
      </c>
      <c r="H23" s="13"/>
      <c r="I23" s="13"/>
      <c r="J23" s="13"/>
      <c r="K23" s="13"/>
    </row>
    <row r="24" spans="2:11" ht="17.25">
      <c r="B24" s="93" t="s">
        <v>0</v>
      </c>
      <c r="C24" s="109" t="s">
        <v>0</v>
      </c>
      <c r="D24" s="109" t="s">
        <v>0</v>
      </c>
      <c r="E24" s="109" t="s">
        <v>0</v>
      </c>
      <c r="F24" s="153" t="s">
        <v>0</v>
      </c>
      <c r="G24" s="134" t="s">
        <v>0</v>
      </c>
      <c r="H24" s="13"/>
      <c r="I24" s="13"/>
      <c r="J24" s="13"/>
      <c r="K24" s="13"/>
    </row>
    <row r="25" spans="2:11" ht="17.25">
      <c r="B25" s="93" t="s">
        <v>42</v>
      </c>
      <c r="C25" s="151">
        <f>'S&amp;D'!J58</f>
        <v>0.41</v>
      </c>
      <c r="D25" s="151">
        <f>+'Direct Debt'!I36</f>
        <v>3.85E-2</v>
      </c>
      <c r="E25" s="151">
        <v>0.26</v>
      </c>
      <c r="F25" s="151">
        <f>+D25*(1-E25)</f>
        <v>2.8489999999999998E-2</v>
      </c>
      <c r="G25" s="152">
        <f>+C25*F25</f>
        <v>1.1680899999999999E-2</v>
      </c>
      <c r="H25" s="13"/>
      <c r="I25" s="13"/>
      <c r="J25" s="13"/>
      <c r="K25" s="13"/>
    </row>
    <row r="26" spans="2:11" ht="18" thickBot="1">
      <c r="B26" s="102" t="s">
        <v>0</v>
      </c>
      <c r="C26" s="102" t="s">
        <v>0</v>
      </c>
      <c r="D26" s="102" t="s">
        <v>0</v>
      </c>
      <c r="E26" s="102" t="s">
        <v>0</v>
      </c>
      <c r="F26" s="154" t="s">
        <v>0</v>
      </c>
      <c r="G26" s="155" t="s">
        <v>0</v>
      </c>
      <c r="H26" s="13"/>
      <c r="I26" s="13"/>
      <c r="J26" s="13"/>
      <c r="K26" s="13"/>
    </row>
    <row r="27" spans="2:11" ht="17.25">
      <c r="B27" s="93" t="s">
        <v>43</v>
      </c>
      <c r="C27" s="156">
        <f>+C23+C25</f>
        <v>1</v>
      </c>
      <c r="D27" s="93" t="s">
        <v>0</v>
      </c>
      <c r="E27" s="93" t="s">
        <v>0</v>
      </c>
      <c r="F27" s="157" t="s">
        <v>0</v>
      </c>
      <c r="G27" s="152">
        <f>+G23+G25</f>
        <v>4.3393399999999999E-2</v>
      </c>
      <c r="H27" s="13"/>
      <c r="I27" s="13"/>
      <c r="J27" s="13"/>
      <c r="K27" s="13"/>
    </row>
    <row r="28" spans="2:11" ht="18" thickBot="1">
      <c r="B28" s="66"/>
      <c r="C28" s="66"/>
      <c r="D28" s="66"/>
      <c r="E28" s="66"/>
      <c r="F28" s="66"/>
      <c r="G28" s="158"/>
      <c r="H28" s="13"/>
      <c r="I28" s="13"/>
      <c r="J28" s="13"/>
      <c r="K28" s="13"/>
    </row>
    <row r="29" spans="2:11" ht="18" thickBot="1">
      <c r="B29" s="13"/>
      <c r="C29" s="13"/>
      <c r="D29" s="13"/>
      <c r="E29" s="13"/>
      <c r="F29" s="221" t="s">
        <v>93</v>
      </c>
      <c r="G29" s="205">
        <v>4.3400000000000001E-2</v>
      </c>
      <c r="H29" s="13"/>
      <c r="I29" s="13"/>
      <c r="J29" s="13"/>
      <c r="K29" s="13"/>
    </row>
    <row r="30" spans="2:11" ht="18" thickBot="1">
      <c r="B30" s="13"/>
      <c r="C30" s="13"/>
      <c r="D30" s="13"/>
      <c r="E30" s="13"/>
      <c r="F30" s="157"/>
      <c r="G30" s="152"/>
      <c r="H30" s="13"/>
      <c r="I30" s="13"/>
      <c r="J30" s="13"/>
      <c r="K30" s="13"/>
    </row>
    <row r="31" spans="2:11" ht="18" thickBot="1">
      <c r="B31" s="13"/>
      <c r="C31" s="13"/>
      <c r="D31" s="13"/>
      <c r="E31" s="13"/>
      <c r="F31" s="221" t="s">
        <v>258</v>
      </c>
      <c r="G31" s="254">
        <f>1/G29</f>
        <v>23.041474654377879</v>
      </c>
      <c r="H31" s="13"/>
      <c r="I31" s="13"/>
      <c r="J31" s="13"/>
      <c r="K31" s="13"/>
    </row>
    <row r="32" spans="2:11" ht="17.25">
      <c r="B32" s="13"/>
      <c r="C32" s="13"/>
      <c r="D32" s="13"/>
      <c r="E32" s="13"/>
      <c r="F32" s="157"/>
      <c r="G32" s="152"/>
      <c r="H32" s="13"/>
      <c r="I32" s="13"/>
      <c r="J32" s="13"/>
      <c r="K32" s="13"/>
    </row>
    <row r="33" spans="1:11" ht="17.25">
      <c r="B33" s="13"/>
      <c r="C33" s="13"/>
      <c r="D33" s="13"/>
      <c r="E33" s="13"/>
      <c r="F33" s="157"/>
      <c r="G33" s="152"/>
      <c r="H33" s="13"/>
      <c r="I33" s="13"/>
      <c r="J33" s="13"/>
      <c r="K33" s="13"/>
    </row>
    <row r="34" spans="1:11" ht="26.25">
      <c r="A34" s="25" t="s">
        <v>1</v>
      </c>
      <c r="C34" s="13"/>
      <c r="D34" s="13"/>
      <c r="E34" s="13"/>
      <c r="F34" s="157"/>
      <c r="G34" s="152"/>
      <c r="H34" s="13"/>
      <c r="I34" s="13"/>
      <c r="J34" s="13"/>
      <c r="K34" s="13"/>
    </row>
    <row r="35" spans="1:11" ht="17.25">
      <c r="A35" s="26" t="s">
        <v>9</v>
      </c>
      <c r="C35" s="13"/>
      <c r="D35" s="13"/>
      <c r="E35" s="13"/>
      <c r="F35" s="157"/>
      <c r="G35" s="152"/>
      <c r="H35" s="13"/>
      <c r="I35" s="13"/>
      <c r="J35" s="13"/>
      <c r="K35" s="13"/>
    </row>
    <row r="36" spans="1:11" ht="17.25">
      <c r="A36" s="27" t="s">
        <v>81</v>
      </c>
      <c r="C36" s="13"/>
      <c r="D36" s="13"/>
      <c r="E36" s="13"/>
      <c r="F36" s="157"/>
      <c r="G36" s="152"/>
      <c r="H36" s="13"/>
      <c r="I36" s="13"/>
      <c r="J36" s="13"/>
      <c r="K36" s="13"/>
    </row>
    <row r="37" spans="1:11" ht="17.25">
      <c r="A37" s="27"/>
      <c r="C37" s="13"/>
      <c r="D37" s="13"/>
      <c r="E37" s="13"/>
      <c r="F37" s="157"/>
      <c r="G37" s="152"/>
      <c r="H37" s="13"/>
      <c r="I37" s="13"/>
      <c r="J37" s="13"/>
      <c r="K37" s="13"/>
    </row>
    <row r="38" spans="1:11" ht="17.25">
      <c r="A38" s="27"/>
      <c r="C38" s="13"/>
      <c r="D38" s="13"/>
      <c r="E38" s="13"/>
      <c r="F38" s="157"/>
      <c r="G38" s="152"/>
      <c r="H38" s="13"/>
      <c r="I38" s="13"/>
      <c r="J38" s="13"/>
      <c r="K38" s="13"/>
    </row>
    <row r="39" spans="1:11" ht="17.25">
      <c r="A39" s="27"/>
      <c r="C39" s="13"/>
      <c r="D39" s="13"/>
      <c r="E39" s="13"/>
      <c r="F39" s="157"/>
      <c r="G39" s="152"/>
      <c r="H39" s="13"/>
      <c r="I39" s="13"/>
      <c r="J39" s="13"/>
      <c r="K39" s="13"/>
    </row>
    <row r="40" spans="1:11" ht="17.25">
      <c r="A40" s="27"/>
      <c r="C40" s="13"/>
      <c r="D40" s="13"/>
      <c r="E40" s="13"/>
      <c r="F40" s="157"/>
      <c r="G40" s="152"/>
      <c r="H40" s="13"/>
      <c r="I40" s="13"/>
      <c r="J40" s="13"/>
      <c r="K40" s="13"/>
    </row>
    <row r="41" spans="1:11" ht="17.25">
      <c r="A41" s="27"/>
      <c r="C41" s="13"/>
      <c r="D41" s="13"/>
      <c r="E41" s="13"/>
      <c r="F41" s="157"/>
      <c r="G41" s="152"/>
      <c r="H41" s="13"/>
      <c r="I41" s="13"/>
      <c r="J41" s="13"/>
      <c r="K41" s="13"/>
    </row>
    <row r="42" spans="1:11" ht="17.25">
      <c r="A42" s="27"/>
      <c r="C42" s="13"/>
      <c r="D42" s="13"/>
      <c r="E42" s="13"/>
      <c r="F42" s="157"/>
      <c r="G42" s="152"/>
      <c r="H42" s="13"/>
      <c r="I42" s="13"/>
      <c r="J42" s="13"/>
      <c r="K42" s="13"/>
    </row>
    <row r="43" spans="1:11" ht="17.25">
      <c r="A43" s="27"/>
      <c r="C43" s="13"/>
      <c r="D43" s="13"/>
      <c r="E43" s="13"/>
      <c r="F43" s="157"/>
      <c r="G43" s="152"/>
      <c r="H43" s="13"/>
      <c r="I43" s="13"/>
      <c r="J43" s="13"/>
      <c r="K43" s="13"/>
    </row>
    <row r="44" spans="1:11" ht="20.25">
      <c r="A44" s="27"/>
      <c r="C44" s="13"/>
      <c r="D44" s="81" t="s">
        <v>82</v>
      </c>
      <c r="E44" s="13"/>
      <c r="F44" s="157"/>
      <c r="G44" s="152"/>
      <c r="H44" s="13"/>
      <c r="I44" s="13"/>
      <c r="J44" s="13"/>
      <c r="K44" s="13"/>
    </row>
    <row r="45" spans="1:11" ht="20.25">
      <c r="A45" s="27"/>
      <c r="C45" s="13"/>
      <c r="D45" s="81"/>
      <c r="E45" s="13"/>
      <c r="F45" s="157"/>
      <c r="G45" s="152"/>
      <c r="H45" s="13"/>
      <c r="I45" s="13"/>
      <c r="J45" s="13"/>
      <c r="K45" s="13"/>
    </row>
    <row r="46" spans="1:11" ht="20.25">
      <c r="A46" s="27"/>
      <c r="C46" s="13"/>
      <c r="D46" s="81"/>
      <c r="E46" s="13"/>
      <c r="F46" s="157"/>
      <c r="G46" s="152"/>
      <c r="H46" s="13"/>
      <c r="I46" s="13"/>
      <c r="J46" s="13"/>
      <c r="K46" s="13"/>
    </row>
    <row r="47" spans="1:11" ht="17.25" thickBot="1">
      <c r="B47" s="13"/>
      <c r="C47" s="30"/>
      <c r="D47" s="30"/>
      <c r="E47" s="30"/>
      <c r="F47" s="13"/>
      <c r="G47" s="13"/>
      <c r="H47" s="13"/>
      <c r="I47" s="13"/>
      <c r="J47" s="13"/>
      <c r="K47" s="13"/>
    </row>
    <row r="48" spans="1:11" ht="26.25">
      <c r="B48" s="13"/>
      <c r="C48" s="13"/>
      <c r="D48" s="33" t="str">
        <f>+D15</f>
        <v>Natural Gas Utility Distribution</v>
      </c>
      <c r="E48" s="13"/>
      <c r="F48" s="13"/>
      <c r="G48" s="13"/>
      <c r="H48" s="13"/>
      <c r="I48" s="13"/>
      <c r="J48" s="13"/>
      <c r="K48" s="13"/>
    </row>
    <row r="49" spans="2:11" ht="21" thickBot="1">
      <c r="B49" s="13"/>
      <c r="C49" s="30"/>
      <c r="D49" s="150" t="s">
        <v>84</v>
      </c>
      <c r="E49" s="30"/>
      <c r="F49" s="13"/>
      <c r="G49" s="13"/>
      <c r="H49" s="13"/>
      <c r="I49" s="13"/>
      <c r="J49" s="13"/>
      <c r="K49" s="13"/>
    </row>
    <row r="50" spans="2:11" ht="16.5">
      <c r="B50" s="13"/>
      <c r="C50" s="13"/>
      <c r="D50" s="13"/>
      <c r="E50" s="13"/>
      <c r="F50" s="13"/>
      <c r="G50" s="13"/>
      <c r="H50" s="13"/>
      <c r="I50" s="13"/>
      <c r="J50" s="13"/>
      <c r="K50" s="13"/>
    </row>
    <row r="51" spans="2:11" ht="17.25" thickBot="1">
      <c r="B51" s="30"/>
      <c r="C51" s="30"/>
      <c r="D51" s="38" t="s">
        <v>0</v>
      </c>
      <c r="E51" s="30"/>
      <c r="F51" s="30"/>
      <c r="G51" s="30"/>
      <c r="H51" s="13"/>
      <c r="I51" s="13"/>
      <c r="J51" s="13"/>
      <c r="K51" s="13"/>
    </row>
    <row r="52" spans="2:11" ht="16.5">
      <c r="B52" s="36" t="s">
        <v>32</v>
      </c>
      <c r="C52" s="36" t="s">
        <v>33</v>
      </c>
      <c r="D52" s="36" t="s">
        <v>86</v>
      </c>
      <c r="E52" s="36" t="s">
        <v>87</v>
      </c>
      <c r="F52" s="36" t="s">
        <v>85</v>
      </c>
      <c r="G52" s="36" t="s">
        <v>35</v>
      </c>
      <c r="H52" s="13"/>
      <c r="I52" s="13"/>
      <c r="J52" s="13"/>
      <c r="K52" s="13"/>
    </row>
    <row r="53" spans="2:11" ht="17.25" thickBot="1">
      <c r="B53" s="38" t="s">
        <v>33</v>
      </c>
      <c r="C53" s="38" t="s">
        <v>36</v>
      </c>
      <c r="D53" s="38" t="s">
        <v>37</v>
      </c>
      <c r="E53" s="38" t="s">
        <v>23</v>
      </c>
      <c r="F53" s="38" t="s">
        <v>38</v>
      </c>
      <c r="G53" s="38" t="s">
        <v>88</v>
      </c>
      <c r="H53" s="13"/>
      <c r="I53" s="13"/>
      <c r="J53" s="13"/>
      <c r="K53" s="13"/>
    </row>
    <row r="54" spans="2:11" ht="16.5">
      <c r="B54" s="40" t="s">
        <v>0</v>
      </c>
      <c r="C54" s="40" t="s">
        <v>0</v>
      </c>
      <c r="D54" s="40" t="s">
        <v>0</v>
      </c>
      <c r="E54" s="40" t="s">
        <v>0</v>
      </c>
      <c r="F54" s="40" t="s">
        <v>0</v>
      </c>
      <c r="G54" s="40" t="s">
        <v>0</v>
      </c>
      <c r="H54" s="13"/>
      <c r="I54" s="13"/>
      <c r="J54" s="13"/>
      <c r="K54" s="13"/>
    </row>
    <row r="55" spans="2:11" ht="16.5">
      <c r="B55" s="36"/>
      <c r="C55" s="36"/>
      <c r="D55" s="36"/>
      <c r="E55" s="36"/>
      <c r="F55" s="36"/>
      <c r="G55" s="36"/>
      <c r="H55" s="13"/>
      <c r="I55" s="13"/>
      <c r="J55" s="13"/>
      <c r="K55" s="13"/>
    </row>
    <row r="56" spans="2:11" ht="17.25">
      <c r="B56" s="93" t="s">
        <v>40</v>
      </c>
      <c r="C56" s="151">
        <f>'S&amp;D'!I58</f>
        <v>0.59</v>
      </c>
      <c r="D56" s="151">
        <f>'Direct GCF'!H36</f>
        <v>0.11535000000000001</v>
      </c>
      <c r="E56" s="109" t="s">
        <v>41</v>
      </c>
      <c r="F56" s="151">
        <f>+D56</f>
        <v>0.11535000000000001</v>
      </c>
      <c r="G56" s="152">
        <f>+F56*C56</f>
        <v>6.8056500000000006E-2</v>
      </c>
      <c r="H56" s="13"/>
      <c r="I56" s="13"/>
      <c r="J56" s="13"/>
      <c r="K56" s="13"/>
    </row>
    <row r="57" spans="2:11" ht="17.25">
      <c r="B57" s="93" t="s">
        <v>0</v>
      </c>
      <c r="C57" s="109" t="s">
        <v>0</v>
      </c>
      <c r="D57" s="109" t="s">
        <v>0</v>
      </c>
      <c r="E57" s="109" t="s">
        <v>0</v>
      </c>
      <c r="F57" s="153" t="s">
        <v>0</v>
      </c>
      <c r="G57" s="134" t="s">
        <v>0</v>
      </c>
      <c r="H57" s="13"/>
      <c r="I57" s="13"/>
      <c r="J57" s="13"/>
      <c r="K57" s="13"/>
    </row>
    <row r="58" spans="2:11" ht="17.25">
      <c r="B58" s="93" t="s">
        <v>42</v>
      </c>
      <c r="C58" s="151">
        <f>'S&amp;D'!J58</f>
        <v>0.41</v>
      </c>
      <c r="D58" s="151">
        <f>+'Direct Debt'!I36</f>
        <v>3.85E-2</v>
      </c>
      <c r="E58" s="151">
        <v>0.26</v>
      </c>
      <c r="F58" s="151">
        <f>+D58*(1-E58)</f>
        <v>2.8489999999999998E-2</v>
      </c>
      <c r="G58" s="152">
        <f>+C58*F58</f>
        <v>1.1680899999999999E-2</v>
      </c>
      <c r="H58" s="13"/>
      <c r="I58" s="13"/>
      <c r="J58" s="13"/>
      <c r="K58" s="13"/>
    </row>
    <row r="59" spans="2:11" ht="18" thickBot="1">
      <c r="B59" s="102" t="s">
        <v>0</v>
      </c>
      <c r="C59" s="102" t="s">
        <v>0</v>
      </c>
      <c r="D59" s="102" t="s">
        <v>0</v>
      </c>
      <c r="E59" s="102" t="s">
        <v>0</v>
      </c>
      <c r="F59" s="154" t="s">
        <v>0</v>
      </c>
      <c r="G59" s="155" t="s">
        <v>0</v>
      </c>
      <c r="H59" s="13"/>
      <c r="I59" s="13"/>
      <c r="J59" s="13"/>
      <c r="K59" s="13"/>
    </row>
    <row r="60" spans="2:11" ht="17.25">
      <c r="B60" s="93" t="s">
        <v>43</v>
      </c>
      <c r="C60" s="156">
        <f>+C56+C58</f>
        <v>1</v>
      </c>
      <c r="D60" s="93" t="s">
        <v>0</v>
      </c>
      <c r="E60" s="93" t="s">
        <v>0</v>
      </c>
      <c r="F60" s="157" t="s">
        <v>0</v>
      </c>
      <c r="G60" s="152">
        <f>+G56+G58</f>
        <v>7.97374E-2</v>
      </c>
      <c r="H60" s="13"/>
      <c r="I60" s="13"/>
      <c r="J60" s="13"/>
      <c r="K60" s="13"/>
    </row>
    <row r="61" spans="2:11" ht="18" thickBot="1">
      <c r="B61" s="66"/>
      <c r="C61" s="66"/>
      <c r="D61" s="66"/>
      <c r="E61" s="66"/>
      <c r="F61" s="66"/>
      <c r="G61" s="158"/>
      <c r="H61" s="13"/>
      <c r="I61" s="13"/>
      <c r="J61" s="13"/>
      <c r="K61" s="13"/>
    </row>
    <row r="62" spans="2:11" ht="18" thickBot="1">
      <c r="B62" s="13"/>
      <c r="C62" s="13"/>
      <c r="D62" s="13"/>
      <c r="E62" s="13"/>
      <c r="F62" s="221" t="s">
        <v>93</v>
      </c>
      <c r="G62" s="205">
        <v>7.9699999999999993E-2</v>
      </c>
      <c r="H62" s="13"/>
      <c r="I62" s="13"/>
      <c r="J62" s="13"/>
      <c r="K62" s="13"/>
    </row>
    <row r="63" spans="2:11" ht="15.75" thickBot="1"/>
    <row r="64" spans="2:11" ht="18" thickBot="1">
      <c r="F64" s="221" t="s">
        <v>258</v>
      </c>
      <c r="G64" s="254">
        <f>1/G62</f>
        <v>12.547051442910917</v>
      </c>
    </row>
  </sheetData>
  <pageMargins left="0.25" right="0.25" top="0.75" bottom="0.75" header="0.3" footer="0.3"/>
  <pageSetup scale="72" fitToHeight="0" orientation="landscape" r:id="rId1"/>
  <rowBreaks count="1" manualBreakCount="1">
    <brk id="33" max="7"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M86"/>
  <sheetViews>
    <sheetView view="pageBreakPreview" zoomScale="60" zoomScaleNormal="80" zoomScalePageLayoutView="70" workbookViewId="0">
      <pane xSplit="1" topLeftCell="B1" activePane="topRight" state="frozen"/>
      <selection activeCell="F4" sqref="F4"/>
      <selection pane="topRight" activeCell="G42" sqref="G42:G47"/>
    </sheetView>
  </sheetViews>
  <sheetFormatPr defaultRowHeight="15"/>
  <cols>
    <col min="1" max="1" width="63" customWidth="1"/>
    <col min="2" max="2" width="11.5703125" bestFit="1" customWidth="1"/>
    <col min="3" max="3" width="25.85546875" customWidth="1"/>
    <col min="4" max="4" width="25.5703125" bestFit="1" customWidth="1"/>
    <col min="5" max="5" width="28" customWidth="1"/>
    <col min="6" max="7" width="29.140625" customWidth="1"/>
    <col min="8" max="8" width="31.85546875" customWidth="1"/>
    <col min="9" max="9" width="31.5703125" customWidth="1"/>
    <col min="10" max="10" width="30.85546875" customWidth="1"/>
    <col min="11" max="11" width="12.85546875" customWidth="1"/>
    <col min="12" max="12" width="25.85546875" bestFit="1" customWidth="1"/>
    <col min="13" max="13" width="30.140625" bestFit="1" customWidth="1"/>
    <col min="14" max="14" width="9.140625" customWidth="1"/>
  </cols>
  <sheetData>
    <row r="1" spans="1:12" ht="26.25">
      <c r="A1" s="25" t="s">
        <v>1</v>
      </c>
      <c r="B1" s="13"/>
      <c r="C1" s="13"/>
      <c r="D1" s="13"/>
      <c r="E1" s="13"/>
      <c r="F1" s="13"/>
      <c r="G1" s="13"/>
      <c r="H1" s="13"/>
      <c r="I1" s="13"/>
      <c r="J1" s="13"/>
      <c r="K1" s="13"/>
    </row>
    <row r="2" spans="1:12" ht="17.25">
      <c r="A2" s="26" t="s">
        <v>9</v>
      </c>
      <c r="B2" s="13"/>
      <c r="C2" s="13"/>
      <c r="D2" s="13"/>
      <c r="E2" s="13"/>
      <c r="F2" s="13"/>
      <c r="G2" s="13"/>
      <c r="H2" s="13"/>
      <c r="I2" s="13"/>
      <c r="J2" s="13"/>
      <c r="K2" s="13"/>
    </row>
    <row r="3" spans="1:12" ht="16.5">
      <c r="A3" s="27" t="s">
        <v>81</v>
      </c>
      <c r="B3" s="13"/>
      <c r="C3" s="13"/>
      <c r="D3" s="13"/>
      <c r="E3" s="13"/>
      <c r="F3" s="13"/>
      <c r="G3" s="13"/>
      <c r="H3" s="13"/>
      <c r="I3" s="13"/>
      <c r="J3" s="13"/>
      <c r="K3" s="13"/>
    </row>
    <row r="4" spans="1:12" ht="16.5">
      <c r="A4" s="27"/>
      <c r="B4" s="13"/>
      <c r="C4" s="13"/>
      <c r="D4" s="13"/>
      <c r="E4" s="13"/>
      <c r="F4" s="218" t="s">
        <v>0</v>
      </c>
      <c r="G4" s="13"/>
      <c r="H4" s="13"/>
      <c r="I4" s="13"/>
      <c r="J4" s="13"/>
      <c r="K4" s="13"/>
    </row>
    <row r="5" spans="1:12" ht="16.5">
      <c r="B5" s="13"/>
      <c r="C5" s="13"/>
      <c r="D5" s="13"/>
      <c r="E5" s="28"/>
      <c r="F5" s="218" t="s">
        <v>0</v>
      </c>
      <c r="G5" s="13"/>
      <c r="H5" s="13"/>
      <c r="I5" s="13"/>
      <c r="J5" s="13"/>
      <c r="K5" s="13" t="s">
        <v>0</v>
      </c>
    </row>
    <row r="6" spans="1:12" ht="16.5">
      <c r="A6" s="13"/>
      <c r="B6" s="13"/>
      <c r="C6" s="13"/>
      <c r="D6" s="13"/>
      <c r="E6" s="13"/>
      <c r="F6" s="13"/>
      <c r="G6" s="13"/>
      <c r="H6" s="13"/>
      <c r="I6" s="13"/>
      <c r="J6" s="13"/>
      <c r="K6" s="13"/>
    </row>
    <row r="7" spans="1:12" ht="16.5">
      <c r="A7" s="13"/>
      <c r="B7" s="36"/>
      <c r="C7" s="36"/>
      <c r="D7" s="36"/>
      <c r="E7" s="36"/>
      <c r="F7" s="36"/>
      <c r="G7" s="15"/>
      <c r="H7" s="45"/>
      <c r="I7" s="45"/>
      <c r="J7" s="88"/>
      <c r="K7" s="88"/>
      <c r="L7" s="3"/>
    </row>
    <row r="8" spans="1:12" ht="16.5">
      <c r="A8" s="89"/>
      <c r="B8" s="36"/>
      <c r="C8" s="36"/>
      <c r="D8" s="36"/>
      <c r="E8" s="36"/>
      <c r="F8" s="36"/>
      <c r="G8" s="15"/>
      <c r="H8" s="45"/>
      <c r="I8" s="45"/>
      <c r="J8" s="88"/>
      <c r="K8" s="88"/>
      <c r="L8" s="3"/>
    </row>
    <row r="9" spans="1:12" ht="16.5">
      <c r="A9" s="89"/>
      <c r="B9" s="36"/>
      <c r="C9" s="36"/>
      <c r="D9" s="36"/>
      <c r="E9" s="36"/>
      <c r="F9" s="36"/>
      <c r="G9" s="15"/>
      <c r="H9" s="45"/>
      <c r="I9" s="45"/>
      <c r="J9" s="88"/>
      <c r="K9" s="88"/>
      <c r="L9" s="3"/>
    </row>
    <row r="10" spans="1:12" ht="16.5">
      <c r="A10" s="45"/>
      <c r="D10" s="45"/>
      <c r="E10" s="45"/>
      <c r="F10" s="45"/>
      <c r="G10" s="45"/>
      <c r="H10" s="45"/>
      <c r="I10" s="45"/>
      <c r="J10" s="45"/>
      <c r="K10" s="45"/>
      <c r="L10" s="2"/>
    </row>
    <row r="11" spans="1:12" ht="17.25" thickBot="1">
      <c r="A11" s="45"/>
      <c r="D11" s="45"/>
      <c r="E11" s="90"/>
      <c r="F11" s="30"/>
      <c r="G11" s="90"/>
      <c r="H11" s="45"/>
      <c r="I11" s="45"/>
      <c r="J11" s="45"/>
      <c r="K11" s="45"/>
      <c r="L11" s="2"/>
    </row>
    <row r="12" spans="1:12" ht="27" thickBot="1">
      <c r="A12" s="29" t="s">
        <v>459</v>
      </c>
      <c r="D12" s="45"/>
      <c r="E12" s="45"/>
      <c r="F12" s="33" t="s">
        <v>96</v>
      </c>
      <c r="G12" s="45"/>
      <c r="H12" s="45"/>
      <c r="I12" s="45"/>
      <c r="J12" s="45"/>
      <c r="K12" s="13"/>
    </row>
    <row r="13" spans="1:12" ht="21" thickBot="1">
      <c r="A13" s="32"/>
      <c r="D13" s="45"/>
      <c r="E13" s="90"/>
      <c r="F13" s="38" t="s">
        <v>95</v>
      </c>
      <c r="G13" s="90"/>
      <c r="H13" s="45"/>
      <c r="I13" s="45"/>
      <c r="J13" s="45" t="s">
        <v>0</v>
      </c>
      <c r="K13" s="13"/>
    </row>
    <row r="14" spans="1:12" ht="20.25">
      <c r="A14" s="32"/>
      <c r="B14" s="45"/>
      <c r="C14" s="45"/>
      <c r="D14" s="45"/>
      <c r="E14" s="45"/>
      <c r="F14" s="14" t="s">
        <v>0</v>
      </c>
      <c r="G14" s="45"/>
      <c r="H14" s="45"/>
      <c r="I14" s="45"/>
      <c r="J14" s="45"/>
      <c r="K14" s="13"/>
    </row>
    <row r="15" spans="1:12" ht="17.25" thickBot="1">
      <c r="A15" s="43" t="s">
        <v>0</v>
      </c>
      <c r="B15" s="43" t="s">
        <v>0</v>
      </c>
      <c r="C15" s="43" t="s">
        <v>0</v>
      </c>
      <c r="D15" s="43"/>
      <c r="E15" s="43"/>
      <c r="F15" s="43"/>
      <c r="G15" s="43" t="s">
        <v>0</v>
      </c>
      <c r="H15" s="90"/>
      <c r="I15" s="90"/>
      <c r="J15" s="90"/>
      <c r="K15" s="13"/>
    </row>
    <row r="16" spans="1:12" ht="17.25">
      <c r="A16" s="91"/>
      <c r="B16" s="92"/>
      <c r="C16" s="270"/>
      <c r="D16" s="94" t="s">
        <v>13</v>
      </c>
      <c r="E16" s="95" t="s">
        <v>13</v>
      </c>
      <c r="F16" s="94" t="s">
        <v>13</v>
      </c>
      <c r="G16" s="93" t="s">
        <v>268</v>
      </c>
      <c r="H16" s="96" t="s">
        <v>394</v>
      </c>
      <c r="I16" s="93" t="s">
        <v>394</v>
      </c>
      <c r="J16" s="96" t="s">
        <v>394</v>
      </c>
      <c r="K16" s="13"/>
    </row>
    <row r="17" spans="1:13" ht="17.25">
      <c r="A17" s="91" t="s">
        <v>0</v>
      </c>
      <c r="B17" s="92" t="s">
        <v>3</v>
      </c>
      <c r="C17" s="92" t="s">
        <v>5</v>
      </c>
      <c r="D17" s="94" t="s">
        <v>10</v>
      </c>
      <c r="E17" s="95" t="s">
        <v>10</v>
      </c>
      <c r="F17" s="94" t="s">
        <v>19</v>
      </c>
      <c r="G17" s="97" t="s">
        <v>394</v>
      </c>
      <c r="H17" s="92" t="s">
        <v>12</v>
      </c>
      <c r="I17" s="98" t="s">
        <v>11</v>
      </c>
      <c r="J17" s="99" t="s">
        <v>174</v>
      </c>
      <c r="K17" s="13"/>
    </row>
    <row r="18" spans="1:13" ht="17.25">
      <c r="A18" s="91" t="s">
        <v>2</v>
      </c>
      <c r="B18" s="92" t="s">
        <v>4</v>
      </c>
      <c r="C18" s="92" t="s">
        <v>6</v>
      </c>
      <c r="D18" s="94" t="s">
        <v>56</v>
      </c>
      <c r="E18" s="95" t="s">
        <v>57</v>
      </c>
      <c r="F18" s="94" t="s">
        <v>10</v>
      </c>
      <c r="G18" s="97" t="s">
        <v>10</v>
      </c>
      <c r="H18" s="92" t="s">
        <v>92</v>
      </c>
      <c r="I18" s="219"/>
      <c r="J18" s="99" t="s">
        <v>269</v>
      </c>
      <c r="K18" s="13" t="s">
        <v>0</v>
      </c>
    </row>
    <row r="19" spans="1:13" ht="18" thickBot="1">
      <c r="A19" s="100" t="s">
        <v>0</v>
      </c>
      <c r="B19" s="101" t="s">
        <v>0</v>
      </c>
      <c r="C19" s="101" t="s">
        <v>0</v>
      </c>
      <c r="D19" s="101" t="s">
        <v>0</v>
      </c>
      <c r="E19" s="102" t="s">
        <v>0</v>
      </c>
      <c r="F19" s="101" t="s">
        <v>0</v>
      </c>
      <c r="G19" s="102" t="s">
        <v>0</v>
      </c>
      <c r="H19" s="103" t="s">
        <v>80</v>
      </c>
      <c r="I19" s="104" t="s">
        <v>79</v>
      </c>
      <c r="J19" s="103" t="s">
        <v>79</v>
      </c>
      <c r="K19" s="13"/>
      <c r="M19" s="374" t="s">
        <v>0</v>
      </c>
    </row>
    <row r="20" spans="1:13" ht="16.5">
      <c r="A20" s="105" t="s">
        <v>7</v>
      </c>
      <c r="B20" s="106" t="s">
        <v>7</v>
      </c>
      <c r="C20" s="289" t="s">
        <v>7</v>
      </c>
      <c r="D20" s="106" t="s">
        <v>7</v>
      </c>
      <c r="E20" s="44" t="s">
        <v>7</v>
      </c>
      <c r="F20" s="106" t="s">
        <v>15</v>
      </c>
      <c r="G20" s="44" t="s">
        <v>7</v>
      </c>
      <c r="H20" s="106" t="s">
        <v>8</v>
      </c>
      <c r="I20" s="44" t="s">
        <v>8</v>
      </c>
      <c r="J20" s="106" t="s">
        <v>8</v>
      </c>
      <c r="K20" s="13"/>
      <c r="M20" s="374" t="s">
        <v>0</v>
      </c>
    </row>
    <row r="21" spans="1:13" ht="17.25">
      <c r="A21" s="91"/>
      <c r="B21" s="92"/>
      <c r="C21" s="92"/>
      <c r="D21" s="92"/>
      <c r="E21" s="93"/>
      <c r="F21" s="92"/>
      <c r="G21" s="93"/>
      <c r="H21" s="92"/>
      <c r="I21" s="66"/>
      <c r="J21" s="107"/>
      <c r="K21" s="13"/>
    </row>
    <row r="22" spans="1:13" ht="17.25">
      <c r="A22" s="108" t="s">
        <v>431</v>
      </c>
      <c r="B22" s="92" t="s">
        <v>432</v>
      </c>
      <c r="C22" s="92" t="s">
        <v>433</v>
      </c>
      <c r="D22" s="110">
        <v>121.08</v>
      </c>
      <c r="E22" s="110">
        <v>97.71</v>
      </c>
      <c r="F22" s="110">
        <f>AVERAGE(D22,E22)</f>
        <v>109.395</v>
      </c>
      <c r="G22" s="110">
        <v>112.07</v>
      </c>
      <c r="H22" s="320">
        <v>143155761</v>
      </c>
      <c r="I22" s="316">
        <v>0</v>
      </c>
      <c r="J22" s="316">
        <f>6551795000+2201484000</f>
        <v>8753279000</v>
      </c>
      <c r="K22" s="13"/>
      <c r="M22" s="127" t="s">
        <v>0</v>
      </c>
    </row>
    <row r="23" spans="1:13" ht="17.25">
      <c r="A23" s="108" t="s">
        <v>434</v>
      </c>
      <c r="B23" s="92" t="s">
        <v>435</v>
      </c>
      <c r="C23" s="83" t="s">
        <v>461</v>
      </c>
      <c r="D23" s="110">
        <v>72.569999999999993</v>
      </c>
      <c r="E23" s="110">
        <v>59.08</v>
      </c>
      <c r="F23" s="110">
        <f>AVERAGE(D23,E23)</f>
        <v>65.824999999999989</v>
      </c>
      <c r="G23" s="110">
        <v>70.34</v>
      </c>
      <c r="H23" s="320">
        <f>66140396-36726</f>
        <v>66103670</v>
      </c>
      <c r="I23" s="316">
        <v>0</v>
      </c>
      <c r="J23" s="316">
        <f>3607340000+525000000</f>
        <v>4132340000</v>
      </c>
      <c r="K23" s="13"/>
      <c r="M23" s="373"/>
    </row>
    <row r="24" spans="1:13" ht="17.25">
      <c r="A24" s="111" t="s">
        <v>436</v>
      </c>
      <c r="B24" s="92" t="s">
        <v>52</v>
      </c>
      <c r="C24" s="83" t="s">
        <v>462</v>
      </c>
      <c r="D24" s="99">
        <v>31.52</v>
      </c>
      <c r="E24" s="99">
        <v>25.03</v>
      </c>
      <c r="F24" s="110">
        <f t="shared" ref="F24:F30" si="0">AVERAGE(D24,E24)</f>
        <v>28.274999999999999</v>
      </c>
      <c r="G24" s="99">
        <v>29.99</v>
      </c>
      <c r="H24" s="316">
        <v>629535631</v>
      </c>
      <c r="I24" s="320">
        <f>790000000+3000000</f>
        <v>793000000</v>
      </c>
      <c r="J24" s="316">
        <f>14836000000+156000000+1346000000</f>
        <v>16338000000</v>
      </c>
      <c r="K24" s="13"/>
      <c r="M24" s="371" t="s">
        <v>0</v>
      </c>
    </row>
    <row r="25" spans="1:13" ht="17.25">
      <c r="A25" s="111" t="s">
        <v>437</v>
      </c>
      <c r="B25" s="92" t="s">
        <v>47</v>
      </c>
      <c r="C25" s="83" t="s">
        <v>462</v>
      </c>
      <c r="D25" s="99">
        <v>65.38</v>
      </c>
      <c r="E25" s="110">
        <v>52.41</v>
      </c>
      <c r="F25" s="110">
        <f t="shared" si="0"/>
        <v>58.894999999999996</v>
      </c>
      <c r="G25" s="110">
        <v>63.33</v>
      </c>
      <c r="H25" s="320">
        <v>291300000</v>
      </c>
      <c r="I25" s="316">
        <v>224000000</v>
      </c>
      <c r="J25" s="316">
        <f>(13122+1099+68)*1000000</f>
        <v>14289000000</v>
      </c>
      <c r="K25" s="13"/>
      <c r="M25" s="371" t="s">
        <v>0</v>
      </c>
    </row>
    <row r="26" spans="1:13" ht="17.25">
      <c r="A26" s="108" t="s">
        <v>438</v>
      </c>
      <c r="B26" s="92" t="s">
        <v>439</v>
      </c>
      <c r="C26" s="92" t="s">
        <v>433</v>
      </c>
      <c r="D26" s="110">
        <v>51.42</v>
      </c>
      <c r="E26" s="110">
        <v>38.07</v>
      </c>
      <c r="F26" s="110">
        <f t="shared" si="0"/>
        <v>44.745000000000005</v>
      </c>
      <c r="G26" s="110">
        <v>49.62</v>
      </c>
      <c r="H26" s="320">
        <f>96803490</f>
        <v>96803490</v>
      </c>
      <c r="I26" s="316">
        <v>0</v>
      </c>
      <c r="J26" s="359">
        <f>2690886000+80115000</f>
        <v>2771001000</v>
      </c>
      <c r="K26" s="13"/>
      <c r="M26" s="371" t="s">
        <v>0</v>
      </c>
    </row>
    <row r="27" spans="1:13" ht="17.25">
      <c r="A27" s="108" t="s">
        <v>440</v>
      </c>
      <c r="B27" s="92" t="s">
        <v>441</v>
      </c>
      <c r="C27" s="92" t="s">
        <v>433</v>
      </c>
      <c r="D27" s="110">
        <v>28.58</v>
      </c>
      <c r="E27" s="110">
        <v>23.78</v>
      </c>
      <c r="F27" s="110">
        <f t="shared" si="0"/>
        <v>26.18</v>
      </c>
      <c r="G27" s="110">
        <v>27.42</v>
      </c>
      <c r="H27" s="320">
        <v>412142602</v>
      </c>
      <c r="I27" s="316">
        <v>1546500000</v>
      </c>
      <c r="J27" s="316">
        <v>9553600000</v>
      </c>
      <c r="K27" s="13"/>
      <c r="M27" s="371" t="s">
        <v>0</v>
      </c>
    </row>
    <row r="28" spans="1:13" ht="17.25">
      <c r="A28" s="360" t="s">
        <v>465</v>
      </c>
      <c r="B28" s="83" t="s">
        <v>442</v>
      </c>
      <c r="C28" s="92" t="s">
        <v>433</v>
      </c>
      <c r="D28" s="110">
        <v>50.64</v>
      </c>
      <c r="E28" s="110">
        <v>42.37</v>
      </c>
      <c r="F28" s="110">
        <f t="shared" si="0"/>
        <v>46.504999999999995</v>
      </c>
      <c r="G28" s="110">
        <v>47.59</v>
      </c>
      <c r="H28" s="320">
        <v>35525000</v>
      </c>
      <c r="I28" s="316">
        <v>0</v>
      </c>
      <c r="J28" s="372">
        <f>1246167000+90697000</f>
        <v>1336864000</v>
      </c>
      <c r="K28" s="13"/>
      <c r="L28" t="s">
        <v>0</v>
      </c>
      <c r="M28" s="371" t="s">
        <v>0</v>
      </c>
    </row>
    <row r="29" spans="1:13" ht="17.25">
      <c r="A29" s="360" t="s">
        <v>443</v>
      </c>
      <c r="B29" s="83" t="s">
        <v>444</v>
      </c>
      <c r="C29" s="92" t="s">
        <v>433</v>
      </c>
      <c r="D29" s="110">
        <v>89.01</v>
      </c>
      <c r="E29" s="110">
        <v>68.86</v>
      </c>
      <c r="F29" s="110">
        <f t="shared" si="0"/>
        <v>78.935000000000002</v>
      </c>
      <c r="G29" s="110">
        <v>75.72</v>
      </c>
      <c r="H29" s="320">
        <v>55349954</v>
      </c>
      <c r="I29" s="316">
        <v>0</v>
      </c>
      <c r="J29" s="316">
        <f>2661743000+20716000</f>
        <v>2682459000</v>
      </c>
      <c r="K29" s="13"/>
      <c r="M29" s="371" t="s">
        <v>0</v>
      </c>
    </row>
    <row r="30" spans="1:13" ht="17.25">
      <c r="A30" s="389" t="s">
        <v>464</v>
      </c>
      <c r="B30" s="83" t="s">
        <v>445</v>
      </c>
      <c r="C30" s="92" t="s">
        <v>433</v>
      </c>
      <c r="D30" s="110">
        <v>74.44</v>
      </c>
      <c r="E30" s="110">
        <v>59.51</v>
      </c>
      <c r="F30" s="110">
        <f t="shared" si="0"/>
        <v>66.974999999999994</v>
      </c>
      <c r="G30" s="110">
        <v>61.88</v>
      </c>
      <c r="H30" s="320">
        <v>67119143</v>
      </c>
      <c r="I30" s="316">
        <v>0</v>
      </c>
      <c r="J30" s="316">
        <f>4403299000+44557000</f>
        <v>4447856000</v>
      </c>
      <c r="K30" s="13"/>
      <c r="L30" t="s">
        <v>0</v>
      </c>
      <c r="M30" t="s">
        <v>0</v>
      </c>
    </row>
    <row r="31" spans="1:13" ht="17.25">
      <c r="A31" s="360" t="s">
        <v>460</v>
      </c>
      <c r="B31" s="83" t="s">
        <v>446</v>
      </c>
      <c r="C31" s="92" t="s">
        <v>433</v>
      </c>
      <c r="D31" s="110">
        <v>74.91</v>
      </c>
      <c r="E31" s="110">
        <v>61.52</v>
      </c>
      <c r="F31" s="110">
        <f>AVERAGE(D31,E31)</f>
        <v>68.215000000000003</v>
      </c>
      <c r="G31" s="110">
        <v>68.86</v>
      </c>
      <c r="H31" s="320">
        <v>52541696</v>
      </c>
      <c r="I31" s="316">
        <f>242000000+16200000</f>
        <v>258200000</v>
      </c>
      <c r="J31" s="316">
        <f>3156300000+256600000</f>
        <v>3412900000</v>
      </c>
      <c r="K31" s="13"/>
      <c r="M31" s="371" t="s">
        <v>0</v>
      </c>
    </row>
    <row r="32" spans="1:13" ht="18" thickBot="1">
      <c r="A32" s="361" t="s">
        <v>44</v>
      </c>
      <c r="B32" s="84" t="s">
        <v>53</v>
      </c>
      <c r="C32" s="84" t="s">
        <v>462</v>
      </c>
      <c r="D32" s="377">
        <v>101.11</v>
      </c>
      <c r="E32" s="377">
        <v>80.819999999999993</v>
      </c>
      <c r="F32" s="375">
        <f>AVERAGE(D32,E32)</f>
        <v>90.965000000000003</v>
      </c>
      <c r="G32" s="377">
        <v>93.76</v>
      </c>
      <c r="H32" s="318">
        <v>315434531</v>
      </c>
      <c r="I32" s="113">
        <v>30400000</v>
      </c>
      <c r="J32" s="318">
        <f>881200000+14766200000</f>
        <v>15647400000</v>
      </c>
      <c r="K32" s="13"/>
      <c r="L32" t="s">
        <v>0</v>
      </c>
      <c r="M32" s="320" t="s">
        <v>0</v>
      </c>
    </row>
    <row r="33" spans="1:12" ht="17.25">
      <c r="A33" s="114"/>
      <c r="B33" s="114"/>
      <c r="C33" s="114"/>
      <c r="D33" s="114"/>
      <c r="E33" s="114"/>
      <c r="F33" s="114"/>
      <c r="G33" s="114"/>
      <c r="H33" s="114"/>
      <c r="I33" s="114"/>
      <c r="J33" s="114"/>
      <c r="K33" s="13"/>
    </row>
    <row r="34" spans="1:12" ht="17.25">
      <c r="A34" s="114"/>
      <c r="B34" s="114"/>
      <c r="C34" s="114"/>
      <c r="D34" s="114"/>
      <c r="E34" s="114"/>
      <c r="F34" s="114"/>
      <c r="G34" s="114"/>
      <c r="H34" s="114"/>
      <c r="I34" s="114"/>
      <c r="J34" s="114" t="s">
        <v>0</v>
      </c>
      <c r="K34" s="13"/>
      <c r="L34" t="s">
        <v>0</v>
      </c>
    </row>
    <row r="35" spans="1:12" ht="18" thickBot="1">
      <c r="A35" s="115" t="s">
        <v>0</v>
      </c>
      <c r="B35" s="116"/>
      <c r="C35" s="116"/>
      <c r="D35" s="116"/>
      <c r="E35" s="116"/>
      <c r="F35" s="30"/>
      <c r="G35" s="116"/>
      <c r="H35" s="116"/>
      <c r="I35" s="116"/>
      <c r="J35" s="114"/>
      <c r="K35" s="114"/>
      <c r="L35" s="4"/>
    </row>
    <row r="36" spans="1:12" ht="17.25">
      <c r="A36" s="117"/>
      <c r="B36" s="118"/>
      <c r="C36" s="118"/>
      <c r="D36" s="118"/>
      <c r="E36" s="119" t="s">
        <v>0</v>
      </c>
      <c r="F36" s="119" t="s">
        <v>0</v>
      </c>
      <c r="G36" s="120"/>
      <c r="H36" s="118"/>
      <c r="I36" s="118"/>
      <c r="J36" s="121"/>
      <c r="K36" s="114"/>
      <c r="L36" s="4"/>
    </row>
    <row r="37" spans="1:12" ht="17.25">
      <c r="A37" s="91"/>
      <c r="B37" s="93"/>
      <c r="C37" s="93"/>
      <c r="D37" s="97" t="s">
        <v>394</v>
      </c>
      <c r="E37" s="93" t="s">
        <v>394</v>
      </c>
      <c r="F37" s="93" t="s">
        <v>394</v>
      </c>
      <c r="G37" s="97" t="s">
        <v>394</v>
      </c>
      <c r="H37" s="97" t="s">
        <v>394</v>
      </c>
      <c r="I37" s="97" t="s">
        <v>394</v>
      </c>
      <c r="J37" s="122" t="s">
        <v>394</v>
      </c>
      <c r="K37" s="13"/>
      <c r="L37" s="5"/>
    </row>
    <row r="38" spans="1:12" ht="17.25">
      <c r="A38" s="91" t="s">
        <v>0</v>
      </c>
      <c r="B38" s="93" t="s">
        <v>3</v>
      </c>
      <c r="C38" s="93" t="s">
        <v>5</v>
      </c>
      <c r="D38" s="93" t="s">
        <v>12</v>
      </c>
      <c r="E38" s="109" t="s">
        <v>173</v>
      </c>
      <c r="F38" s="109" t="s">
        <v>326</v>
      </c>
      <c r="G38" s="93" t="s">
        <v>233</v>
      </c>
      <c r="H38" s="109" t="s">
        <v>16</v>
      </c>
      <c r="I38" s="109" t="s">
        <v>17</v>
      </c>
      <c r="J38" s="123" t="s">
        <v>66</v>
      </c>
      <c r="K38" s="13"/>
      <c r="L38" s="5"/>
    </row>
    <row r="39" spans="1:12" ht="18" thickBot="1">
      <c r="A39" s="100" t="s">
        <v>2</v>
      </c>
      <c r="B39" s="102" t="s">
        <v>4</v>
      </c>
      <c r="C39" s="102" t="s">
        <v>6</v>
      </c>
      <c r="D39" s="102" t="s">
        <v>14</v>
      </c>
      <c r="E39" s="102" t="s">
        <v>14</v>
      </c>
      <c r="F39" s="102" t="s">
        <v>339</v>
      </c>
      <c r="G39" s="102" t="s">
        <v>14</v>
      </c>
      <c r="H39" s="102" t="s">
        <v>393</v>
      </c>
      <c r="I39" s="102" t="s">
        <v>0</v>
      </c>
      <c r="J39" s="124" t="s">
        <v>392</v>
      </c>
      <c r="K39" s="13"/>
      <c r="L39" s="1"/>
    </row>
    <row r="40" spans="1:12" ht="16.5">
      <c r="A40" s="288" t="s">
        <v>7</v>
      </c>
      <c r="B40" s="362" t="s">
        <v>7</v>
      </c>
      <c r="C40" s="362" t="s">
        <v>7</v>
      </c>
      <c r="D40" s="362" t="s">
        <v>15</v>
      </c>
      <c r="E40" s="362" t="s">
        <v>8</v>
      </c>
      <c r="F40" s="362" t="s">
        <v>8</v>
      </c>
      <c r="G40" s="362" t="s">
        <v>8</v>
      </c>
      <c r="H40" s="362" t="s">
        <v>15</v>
      </c>
      <c r="I40" s="362" t="s">
        <v>15</v>
      </c>
      <c r="J40" s="290" t="s">
        <v>15</v>
      </c>
      <c r="K40" s="13"/>
      <c r="L40" s="5"/>
    </row>
    <row r="41" spans="1:12" ht="17.25">
      <c r="A41" s="91"/>
      <c r="B41" s="93"/>
      <c r="C41" s="93"/>
      <c r="D41" s="114"/>
      <c r="E41" s="114"/>
      <c r="F41" s="114"/>
      <c r="G41" s="114"/>
      <c r="H41" s="66"/>
      <c r="I41" s="66"/>
      <c r="J41" s="126"/>
      <c r="K41" s="13"/>
      <c r="L41" s="4"/>
    </row>
    <row r="42" spans="1:12" ht="17.25">
      <c r="A42" s="108" t="str">
        <f t="shared" ref="A42:C45" si="1">+A22</f>
        <v>Atmos Energy Corp</v>
      </c>
      <c r="B42" s="93" t="str">
        <f t="shared" si="1"/>
        <v>ATO</v>
      </c>
      <c r="C42" s="93" t="str">
        <f t="shared" si="1"/>
        <v>Gas Utility</v>
      </c>
      <c r="D42" s="127">
        <f>(+H22)*G22</f>
        <v>16043466135.269999</v>
      </c>
      <c r="E42" s="368">
        <f>(1/1)*I22</f>
        <v>0</v>
      </c>
      <c r="F42" s="127">
        <v>48100000</v>
      </c>
      <c r="G42" s="127">
        <f>J22*(7856154/8760000)</f>
        <v>7850126464.4938354</v>
      </c>
      <c r="H42" s="320">
        <f t="shared" ref="H42:H52" si="2">+D42+E42+G42</f>
        <v>23893592599.763832</v>
      </c>
      <c r="I42" s="128">
        <f t="shared" ref="I42:I52" si="3">(+D42)/H42</f>
        <v>0.67145474537925176</v>
      </c>
      <c r="J42" s="129">
        <f t="shared" ref="J42:J52" si="4">(+E42+G42)/H42</f>
        <v>0.32854525462074829</v>
      </c>
      <c r="K42" s="13"/>
      <c r="L42" s="4"/>
    </row>
    <row r="43" spans="1:12" ht="17.25">
      <c r="A43" s="108" t="str">
        <f t="shared" si="1"/>
        <v>Black Hills Corporation</v>
      </c>
      <c r="B43" s="93" t="str">
        <f t="shared" si="1"/>
        <v>BKH</v>
      </c>
      <c r="C43" s="36" t="str">
        <f t="shared" si="1"/>
        <v>Electric Utility - West</v>
      </c>
      <c r="D43" s="127">
        <f>(+H23)*G23</f>
        <v>4649732147.8000002</v>
      </c>
      <c r="E43" s="127">
        <f>(194.8/200)*I23</f>
        <v>0</v>
      </c>
      <c r="F43" s="127">
        <v>0</v>
      </c>
      <c r="G43" s="127">
        <f>J23*(3760848/4132340)</f>
        <v>3760848000</v>
      </c>
      <c r="H43" s="320">
        <f t="shared" si="2"/>
        <v>8410580147.8000002</v>
      </c>
      <c r="I43" s="128">
        <f t="shared" si="3"/>
        <v>0.55284321248829138</v>
      </c>
      <c r="J43" s="129">
        <f t="shared" si="4"/>
        <v>0.44715678751170868</v>
      </c>
      <c r="K43" s="13"/>
      <c r="L43" s="4"/>
    </row>
    <row r="44" spans="1:12" ht="17.25">
      <c r="A44" s="108" t="str">
        <f t="shared" si="1"/>
        <v>CenterPoint Energy Inc.</v>
      </c>
      <c r="B44" s="93" t="str">
        <f t="shared" si="1"/>
        <v>CNP</v>
      </c>
      <c r="C44" s="36" t="str">
        <f t="shared" si="1"/>
        <v>Electric Utility - Central</v>
      </c>
      <c r="D44" s="127">
        <f>(+H24)*G24</f>
        <v>18879773573.689999</v>
      </c>
      <c r="E44" s="127">
        <f>(1/1)*I24</f>
        <v>793000000</v>
      </c>
      <c r="F44" s="127">
        <v>19000000</v>
      </c>
      <c r="G44" s="127">
        <f>J24*(14990/16338)</f>
        <v>14990000000</v>
      </c>
      <c r="H44" s="320">
        <f t="shared" si="2"/>
        <v>34662773573.690002</v>
      </c>
      <c r="I44" s="128">
        <f t="shared" si="3"/>
        <v>0.54467001994382425</v>
      </c>
      <c r="J44" s="129">
        <f t="shared" si="4"/>
        <v>0.45532998005617564</v>
      </c>
      <c r="K44" s="13"/>
      <c r="L44" s="4"/>
    </row>
    <row r="45" spans="1:12" ht="17.25">
      <c r="A45" s="108" t="str">
        <f t="shared" si="1"/>
        <v>CMS Energy Corporation</v>
      </c>
      <c r="B45" s="93" t="str">
        <f t="shared" si="1"/>
        <v>CMS</v>
      </c>
      <c r="C45" s="36" t="str">
        <f t="shared" si="1"/>
        <v>Electric Utility - Central</v>
      </c>
      <c r="D45" s="127">
        <f>(+H25)*G25</f>
        <v>18448029000</v>
      </c>
      <c r="E45" s="127">
        <f>(1/1)*I25</f>
        <v>224000000</v>
      </c>
      <c r="F45" s="127">
        <v>31000000</v>
      </c>
      <c r="G45" s="127">
        <f>J25*(12384/14212)</f>
        <v>12451095975.232199</v>
      </c>
      <c r="H45" s="320">
        <f t="shared" si="2"/>
        <v>31123124975.232201</v>
      </c>
      <c r="I45" s="128">
        <f t="shared" si="3"/>
        <v>0.59274346694558955</v>
      </c>
      <c r="J45" s="129">
        <f t="shared" si="4"/>
        <v>0.4072565330544104</v>
      </c>
      <c r="K45" s="13"/>
      <c r="L45" s="4"/>
    </row>
    <row r="46" spans="1:12" ht="17.25">
      <c r="A46" s="108" t="str">
        <f t="shared" ref="A46:C52" si="5">+A26</f>
        <v>New Jersey Resources Corp</v>
      </c>
      <c r="B46" s="93" t="str">
        <f t="shared" si="5"/>
        <v>NJR</v>
      </c>
      <c r="C46" s="93" t="str">
        <f t="shared" si="5"/>
        <v>Gas Utility</v>
      </c>
      <c r="D46" s="127">
        <f t="shared" ref="D46:D52" si="6">(+H26)*G26</f>
        <v>4803389173.8000002</v>
      </c>
      <c r="E46" s="127">
        <f t="shared" ref="E46:E52" si="7">(1/1)*I26</f>
        <v>0</v>
      </c>
      <c r="F46" s="127">
        <f>137627000+4661000</f>
        <v>142288000</v>
      </c>
      <c r="G46" s="320">
        <f>J26*(2153688/2537845)</f>
        <v>2351550863.7005014</v>
      </c>
      <c r="H46" s="320">
        <f t="shared" si="2"/>
        <v>7154940037.5005016</v>
      </c>
      <c r="I46" s="128">
        <f t="shared" si="3"/>
        <v>0.67133884401888155</v>
      </c>
      <c r="J46" s="129">
        <f t="shared" si="4"/>
        <v>0.32866115598111839</v>
      </c>
      <c r="K46" s="13"/>
      <c r="L46" s="4"/>
    </row>
    <row r="47" spans="1:12" ht="17.25">
      <c r="A47" s="108" t="str">
        <f t="shared" si="5"/>
        <v>NISOURCE Inc.</v>
      </c>
      <c r="B47" s="93" t="str">
        <f t="shared" si="5"/>
        <v>NI</v>
      </c>
      <c r="C47" s="93" t="str">
        <f t="shared" si="5"/>
        <v>Gas Utility</v>
      </c>
      <c r="D47" s="127">
        <f t="shared" si="6"/>
        <v>11300950146.84</v>
      </c>
      <c r="E47" s="127">
        <f t="shared" si="7"/>
        <v>1546500000</v>
      </c>
      <c r="F47" s="127">
        <v>36700000</v>
      </c>
      <c r="G47" s="413">
        <f>(8479.4/9553.6)*J27</f>
        <v>8479400000</v>
      </c>
      <c r="H47" s="320">
        <f>+D47+E47+G47</f>
        <v>21326850146.84</v>
      </c>
      <c r="I47" s="128">
        <f>(+D47)/H47</f>
        <v>0.52989307230230909</v>
      </c>
      <c r="J47" s="129">
        <f>(+E47+G47)/H47</f>
        <v>0.47010692769769086</v>
      </c>
      <c r="K47" s="13"/>
      <c r="L47" s="4"/>
    </row>
    <row r="48" spans="1:12" ht="17.25">
      <c r="A48" s="108" t="str">
        <f t="shared" si="5"/>
        <v xml:space="preserve">Northwest Natural Holding Company </v>
      </c>
      <c r="B48" s="93" t="str">
        <f t="shared" si="5"/>
        <v>NWN</v>
      </c>
      <c r="C48" s="93" t="str">
        <f t="shared" si="5"/>
        <v>Gas Utility</v>
      </c>
      <c r="D48" s="127">
        <f t="shared" si="6"/>
        <v>1690634750.0000002</v>
      </c>
      <c r="E48" s="127">
        <f t="shared" si="7"/>
        <v>0</v>
      </c>
      <c r="F48" s="127">
        <v>80479000</v>
      </c>
      <c r="G48" s="127">
        <v>1148395000</v>
      </c>
      <c r="H48" s="320">
        <f t="shared" si="2"/>
        <v>2839029750</v>
      </c>
      <c r="I48" s="128">
        <f t="shared" si="3"/>
        <v>0.59549737018430338</v>
      </c>
      <c r="J48" s="129">
        <f t="shared" si="4"/>
        <v>0.40450262981569673</v>
      </c>
      <c r="K48" s="13"/>
      <c r="L48" s="4"/>
    </row>
    <row r="49" spans="1:12" ht="17.25">
      <c r="A49" s="108" t="str">
        <f t="shared" si="5"/>
        <v>One Gas INC</v>
      </c>
      <c r="B49" s="93" t="str">
        <f t="shared" si="5"/>
        <v>OGS</v>
      </c>
      <c r="C49" s="93" t="str">
        <f t="shared" si="5"/>
        <v>Gas Utility</v>
      </c>
      <c r="D49" s="127">
        <f t="shared" si="6"/>
        <v>4191098516.8800001</v>
      </c>
      <c r="E49" s="127">
        <f t="shared" si="7"/>
        <v>0</v>
      </c>
      <c r="F49" s="127">
        <v>23100000</v>
      </c>
      <c r="G49" s="127">
        <f>J29*(2.5/2.7)</f>
        <v>2483758333.333333</v>
      </c>
      <c r="H49" s="320">
        <f t="shared" si="2"/>
        <v>6674856850.2133331</v>
      </c>
      <c r="I49" s="128">
        <f t="shared" si="3"/>
        <v>0.62789339321127913</v>
      </c>
      <c r="J49" s="129">
        <f t="shared" si="4"/>
        <v>0.37210660678872093</v>
      </c>
      <c r="K49" s="13"/>
      <c r="L49" s="4"/>
    </row>
    <row r="50" spans="1:12" ht="17.25">
      <c r="A50" s="108" t="str">
        <f>+A30</f>
        <v>Southwest Gas Holdings, Inc</v>
      </c>
      <c r="B50" s="93" t="str">
        <f t="shared" si="5"/>
        <v>SWX</v>
      </c>
      <c r="C50" s="93" t="str">
        <f t="shared" si="5"/>
        <v>Gas Utility</v>
      </c>
      <c r="D50" s="127">
        <f t="shared" si="6"/>
        <v>4153332568.8400002</v>
      </c>
      <c r="E50" s="127">
        <f t="shared" si="7"/>
        <v>0</v>
      </c>
      <c r="F50" s="127">
        <v>90982000</v>
      </c>
      <c r="G50" s="127">
        <f>+J30*0.95</f>
        <v>4225463200</v>
      </c>
      <c r="H50" s="320">
        <f t="shared" si="2"/>
        <v>8378795768.8400002</v>
      </c>
      <c r="I50" s="128">
        <f t="shared" si="3"/>
        <v>0.49569564450847176</v>
      </c>
      <c r="J50" s="129">
        <f t="shared" si="4"/>
        <v>0.50430435549152819</v>
      </c>
      <c r="K50" s="13"/>
      <c r="L50" s="4"/>
    </row>
    <row r="51" spans="1:12" ht="17.25">
      <c r="A51" s="108" t="str">
        <f t="shared" si="5"/>
        <v>Spire Inc / Laclede Group Inc</v>
      </c>
      <c r="B51" s="93" t="str">
        <f t="shared" si="5"/>
        <v>SR</v>
      </c>
      <c r="C51" s="93" t="str">
        <f t="shared" si="5"/>
        <v>Gas Utility</v>
      </c>
      <c r="D51" s="127">
        <f t="shared" si="6"/>
        <v>3618021186.5599999</v>
      </c>
      <c r="E51" s="127">
        <f t="shared" si="7"/>
        <v>258200000</v>
      </c>
      <c r="F51" s="127">
        <v>0</v>
      </c>
      <c r="G51" s="127">
        <f>J31*(3083.7/3412.9)</f>
        <v>3083700000</v>
      </c>
      <c r="H51" s="320">
        <f t="shared" si="2"/>
        <v>6959921186.5599995</v>
      </c>
      <c r="I51" s="128">
        <f t="shared" si="3"/>
        <v>0.51983651676208675</v>
      </c>
      <c r="J51" s="129">
        <f t="shared" si="4"/>
        <v>0.4801634832379133</v>
      </c>
      <c r="K51" s="13"/>
      <c r="L51" s="4"/>
    </row>
    <row r="52" spans="1:12" ht="18" thickBot="1">
      <c r="A52" s="112" t="str">
        <f t="shared" si="5"/>
        <v>WEC Energy Group</v>
      </c>
      <c r="B52" s="102" t="str">
        <f t="shared" si="5"/>
        <v>WEC</v>
      </c>
      <c r="C52" s="38" t="str">
        <f t="shared" si="5"/>
        <v>Electric Utility - Central</v>
      </c>
      <c r="D52" s="323">
        <f t="shared" si="6"/>
        <v>29575141626.560001</v>
      </c>
      <c r="E52" s="323">
        <f t="shared" si="7"/>
        <v>30400000</v>
      </c>
      <c r="F52" s="323">
        <v>25400000</v>
      </c>
      <c r="G52" s="323">
        <f>13921300000+183200000</f>
        <v>14104500000</v>
      </c>
      <c r="H52" s="113">
        <f t="shared" si="2"/>
        <v>43710041626.559998</v>
      </c>
      <c r="I52" s="324">
        <f t="shared" si="3"/>
        <v>0.67662121851169643</v>
      </c>
      <c r="J52" s="325">
        <f t="shared" si="4"/>
        <v>0.32337878148830362</v>
      </c>
      <c r="K52" s="13"/>
      <c r="L52" s="4"/>
    </row>
    <row r="53" spans="1:12" ht="17.25">
      <c r="A53" s="13"/>
      <c r="B53" s="13"/>
      <c r="C53" s="13"/>
      <c r="D53" s="13"/>
      <c r="E53" s="13"/>
      <c r="F53" s="13"/>
      <c r="G53" s="13"/>
      <c r="H53" s="130" t="s">
        <v>56</v>
      </c>
      <c r="I53" s="134">
        <v>0.6734</v>
      </c>
      <c r="J53" s="134">
        <v>0.50429999999999997</v>
      </c>
      <c r="K53" s="13"/>
    </row>
    <row r="54" spans="1:12" ht="17.25">
      <c r="G54" s="13"/>
      <c r="H54" s="326" t="s">
        <v>57</v>
      </c>
      <c r="I54" s="327">
        <v>0.49569999999999997</v>
      </c>
      <c r="J54" s="327">
        <v>0.3266</v>
      </c>
      <c r="K54" s="13"/>
    </row>
    <row r="55" spans="1:12" ht="17.25">
      <c r="F55" t="s">
        <v>0</v>
      </c>
      <c r="H55" s="15" t="s">
        <v>18</v>
      </c>
      <c r="I55" s="132">
        <f>MEDIAN(I42:I52)</f>
        <v>0.59274346694558955</v>
      </c>
      <c r="J55" s="133">
        <f>MEDIAN(J42:J52)</f>
        <v>0.4072565330544104</v>
      </c>
      <c r="K55" s="13"/>
    </row>
    <row r="56" spans="1:12" ht="17.25">
      <c r="D56" t="s">
        <v>0</v>
      </c>
      <c r="G56" s="13" t="s">
        <v>0</v>
      </c>
      <c r="H56" s="15" t="s">
        <v>474</v>
      </c>
      <c r="I56" s="132">
        <f>AVERAGE(I42:I52)</f>
        <v>0.58895340947781694</v>
      </c>
      <c r="J56" s="133">
        <f>AVERAGE(J42:J52)</f>
        <v>0.41104659052218318</v>
      </c>
      <c r="K56" s="13"/>
    </row>
    <row r="57" spans="1:12" ht="18" thickBot="1">
      <c r="D57" t="s">
        <v>0</v>
      </c>
      <c r="F57" t="s">
        <v>0</v>
      </c>
      <c r="G57" s="13"/>
      <c r="H57" s="13"/>
      <c r="I57" s="66"/>
      <c r="J57" s="66"/>
      <c r="K57" s="13"/>
    </row>
    <row r="58" spans="1:12" ht="27" thickBot="1">
      <c r="F58" t="s">
        <v>0</v>
      </c>
      <c r="G58" s="13"/>
      <c r="H58" s="220" t="s">
        <v>235</v>
      </c>
      <c r="I58" s="444">
        <v>0.59</v>
      </c>
      <c r="J58" s="445">
        <v>0.41</v>
      </c>
      <c r="K58" s="13"/>
    </row>
    <row r="59" spans="1:12" ht="17.25">
      <c r="E59" s="131"/>
      <c r="F59" s="13"/>
      <c r="G59" s="13"/>
      <c r="H59" s="13"/>
      <c r="I59" s="66"/>
      <c r="J59" s="66" t="s">
        <v>0</v>
      </c>
      <c r="K59" s="13"/>
    </row>
    <row r="60" spans="1:12" ht="16.5">
      <c r="E60" s="131"/>
      <c r="F60" s="13"/>
      <c r="G60" s="13"/>
      <c r="H60" s="13"/>
      <c r="I60" s="13"/>
      <c r="J60" s="13"/>
      <c r="K60" s="13"/>
    </row>
    <row r="61" spans="1:12" ht="16.5">
      <c r="E61" s="131"/>
      <c r="F61" s="13"/>
      <c r="G61" s="13"/>
      <c r="H61" s="13"/>
      <c r="I61" s="13"/>
      <c r="J61" s="13"/>
      <c r="K61" s="13"/>
    </row>
    <row r="62" spans="1:12" ht="26.25">
      <c r="A62" s="24" t="s">
        <v>91</v>
      </c>
      <c r="B62" s="13"/>
      <c r="C62" s="78"/>
      <c r="D62" s="135"/>
      <c r="E62" s="131"/>
      <c r="F62" s="13"/>
      <c r="G62" s="13"/>
      <c r="H62" s="13"/>
      <c r="I62" s="13"/>
      <c r="J62" s="13"/>
      <c r="K62" s="13"/>
    </row>
    <row r="63" spans="1:12" ht="16.5">
      <c r="A63" s="89" t="s">
        <v>72</v>
      </c>
      <c r="B63" s="13"/>
      <c r="C63" s="78"/>
      <c r="D63" s="135"/>
      <c r="E63" s="131"/>
      <c r="F63" s="13"/>
      <c r="G63" s="13"/>
      <c r="H63" s="13"/>
      <c r="I63" s="13"/>
      <c r="J63" s="13"/>
      <c r="K63" s="13"/>
    </row>
    <row r="64" spans="1:12" ht="16.5">
      <c r="A64" s="13" t="s">
        <v>0</v>
      </c>
      <c r="B64" s="13"/>
      <c r="C64" s="78"/>
      <c r="D64" s="135"/>
      <c r="E64" s="131"/>
      <c r="F64" s="13"/>
      <c r="G64" s="13"/>
      <c r="H64" s="13"/>
      <c r="I64" s="13"/>
      <c r="J64" s="13"/>
      <c r="K64" s="13"/>
    </row>
    <row r="65" spans="1:5" ht="16.5">
      <c r="A65" s="13" t="s">
        <v>177</v>
      </c>
    </row>
    <row r="66" spans="1:5" ht="16.5">
      <c r="A66" s="13" t="s">
        <v>175</v>
      </c>
    </row>
    <row r="67" spans="1:5" ht="16.5">
      <c r="A67" s="13" t="s">
        <v>176</v>
      </c>
    </row>
    <row r="68" spans="1:5" ht="16.5">
      <c r="A68" s="13" t="s">
        <v>346</v>
      </c>
    </row>
    <row r="71" spans="1:5" ht="26.25">
      <c r="A71" s="363" t="s">
        <v>347</v>
      </c>
    </row>
    <row r="72" spans="1:5" ht="16.5">
      <c r="A72" s="364" t="s">
        <v>447</v>
      </c>
      <c r="B72" s="365"/>
      <c r="C72" s="365"/>
      <c r="D72" s="351"/>
      <c r="E72" s="351"/>
    </row>
    <row r="73" spans="1:5" ht="16.5">
      <c r="A73" s="364" t="s">
        <v>448</v>
      </c>
      <c r="B73" s="351"/>
      <c r="C73" s="351"/>
      <c r="D73" s="351"/>
      <c r="E73" s="351"/>
    </row>
    <row r="74" spans="1:5" ht="17.25">
      <c r="A74" s="321" t="s">
        <v>404</v>
      </c>
      <c r="B74" s="351"/>
      <c r="C74" s="351"/>
      <c r="D74" s="351"/>
      <c r="E74" s="351"/>
    </row>
    <row r="75" spans="1:5" ht="16.5">
      <c r="A75" s="364" t="s">
        <v>449</v>
      </c>
      <c r="B75" s="351"/>
      <c r="C75" s="351"/>
      <c r="D75" s="351"/>
      <c r="E75" s="351"/>
    </row>
    <row r="76" spans="1:5" ht="16.5">
      <c r="A76" s="139" t="s">
        <v>450</v>
      </c>
      <c r="B76" s="351"/>
      <c r="C76" s="351"/>
      <c r="D76" s="351"/>
      <c r="E76" s="351"/>
    </row>
    <row r="77" spans="1:5" ht="16.5">
      <c r="A77" s="13"/>
    </row>
    <row r="78" spans="1:5" ht="26.25">
      <c r="A78" s="363" t="s">
        <v>451</v>
      </c>
    </row>
    <row r="79" spans="1:5" ht="16.5">
      <c r="A79" s="376" t="s">
        <v>452</v>
      </c>
    </row>
    <row r="80" spans="1:5" ht="16.5">
      <c r="A80" s="376" t="s">
        <v>453</v>
      </c>
    </row>
    <row r="81" spans="1:5" ht="16.5">
      <c r="A81" s="364" t="s">
        <v>454</v>
      </c>
    </row>
    <row r="82" spans="1:5" ht="16.5">
      <c r="A82" s="364" t="s">
        <v>455</v>
      </c>
    </row>
    <row r="83" spans="1:5" ht="16.5">
      <c r="A83" s="139" t="s">
        <v>456</v>
      </c>
    </row>
    <row r="84" spans="1:5" ht="26.25">
      <c r="A84" s="366"/>
    </row>
    <row r="85" spans="1:5" ht="26.25">
      <c r="A85" s="363" t="s">
        <v>457</v>
      </c>
    </row>
    <row r="86" spans="1:5" ht="16.5">
      <c r="A86" s="367" t="s">
        <v>458</v>
      </c>
      <c r="B86" s="365"/>
      <c r="C86" s="365"/>
      <c r="D86" s="351"/>
      <c r="E86" s="351"/>
    </row>
  </sheetData>
  <pageMargins left="0.25" right="0.25" top="0.75" bottom="0.75" header="0.3" footer="0.3"/>
  <pageSetup scale="33" orientation="landscape" r:id="rId1"/>
  <rowBreaks count="1" manualBreakCount="1">
    <brk id="58" max="11" man="1"/>
  </rowBreaks>
  <colBreaks count="1" manualBreakCount="1">
    <brk id="11" max="88" man="1"/>
  </colBreaks>
  <ignoredErrors>
    <ignoredError sqref="E43" 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1FF50-7DB7-41D1-AD2F-655311479817}">
  <sheetPr>
    <tabColor rgb="FF92D050"/>
    <pageSetUpPr fitToPage="1"/>
  </sheetPr>
  <dimension ref="A1:J68"/>
  <sheetViews>
    <sheetView view="pageBreakPreview" zoomScale="70" zoomScaleNormal="80" zoomScaleSheetLayoutView="70" zoomScalePageLayoutView="70" workbookViewId="0">
      <pane xSplit="1" topLeftCell="B1" activePane="topRight" state="frozen"/>
      <selection activeCell="F4" sqref="F4"/>
      <selection pane="topRight" activeCell="A13" sqref="A13"/>
    </sheetView>
  </sheetViews>
  <sheetFormatPr defaultRowHeight="15"/>
  <cols>
    <col min="1" max="1" width="62.42578125" customWidth="1"/>
    <col min="2" max="2" width="11.5703125" bestFit="1" customWidth="1"/>
    <col min="3" max="3" width="26.28515625" customWidth="1"/>
    <col min="4" max="4" width="30.140625" customWidth="1"/>
    <col min="5" max="5" width="28" customWidth="1"/>
    <col min="6" max="6" width="29.140625" customWidth="1"/>
    <col min="7" max="7" width="23.42578125" customWidth="1"/>
    <col min="8" max="8" width="12.85546875" customWidth="1"/>
    <col min="9" max="9" width="25.85546875" bestFit="1" customWidth="1"/>
    <col min="10" max="10" width="30.140625" bestFit="1" customWidth="1"/>
    <col min="11" max="11" width="9.140625" customWidth="1"/>
  </cols>
  <sheetData>
    <row r="1" spans="1:9" ht="26.25">
      <c r="A1" s="25" t="s">
        <v>1</v>
      </c>
      <c r="B1" s="13"/>
      <c r="C1" s="13"/>
      <c r="D1" s="13"/>
      <c r="E1" s="13"/>
      <c r="F1" s="13"/>
      <c r="G1" s="13"/>
      <c r="H1" s="13"/>
    </row>
    <row r="2" spans="1:9" ht="17.25">
      <c r="A2" s="26" t="s">
        <v>9</v>
      </c>
      <c r="B2" s="13"/>
      <c r="C2" s="13"/>
      <c r="D2" s="13"/>
      <c r="E2" s="13"/>
      <c r="F2" s="13"/>
      <c r="G2" s="13"/>
      <c r="H2" s="13"/>
    </row>
    <row r="3" spans="1:9" ht="16.5">
      <c r="A3" s="27" t="s">
        <v>81</v>
      </c>
      <c r="B3" s="13"/>
      <c r="C3" s="13"/>
      <c r="D3" s="13"/>
      <c r="E3" s="13"/>
      <c r="F3" s="13"/>
      <c r="G3" s="13"/>
      <c r="H3" s="13"/>
    </row>
    <row r="4" spans="1:9" ht="16.5">
      <c r="A4" s="27"/>
      <c r="B4" s="13"/>
      <c r="C4" s="13"/>
      <c r="D4" s="13"/>
      <c r="E4" s="13"/>
      <c r="F4" s="218" t="s">
        <v>0</v>
      </c>
      <c r="G4" s="13"/>
      <c r="H4" s="13"/>
    </row>
    <row r="5" spans="1:9" ht="16.5">
      <c r="B5" s="13"/>
      <c r="C5" s="13"/>
      <c r="D5" s="13"/>
      <c r="E5" s="28"/>
      <c r="F5" s="218" t="s">
        <v>0</v>
      </c>
      <c r="G5" s="13"/>
      <c r="H5" s="13" t="s">
        <v>0</v>
      </c>
    </row>
    <row r="6" spans="1:9" ht="16.5">
      <c r="A6" s="89"/>
      <c r="B6" s="36"/>
      <c r="C6" s="36"/>
      <c r="D6" s="36"/>
      <c r="E6" s="36"/>
      <c r="F6" s="36"/>
      <c r="G6" s="15"/>
      <c r="H6" s="88"/>
      <c r="I6" s="3"/>
    </row>
    <row r="7" spans="1:9" ht="16.5">
      <c r="A7" s="45"/>
      <c r="B7" s="45"/>
      <c r="C7" s="45"/>
      <c r="D7" s="45"/>
      <c r="E7" s="45"/>
      <c r="F7" s="45"/>
      <c r="G7" s="45"/>
      <c r="H7" s="45"/>
      <c r="I7" s="2"/>
    </row>
    <row r="8" spans="1:9" ht="17.25" thickBot="1">
      <c r="A8" s="45"/>
      <c r="B8" s="45"/>
      <c r="C8" s="45"/>
      <c r="D8" s="90"/>
      <c r="E8" s="30"/>
      <c r="F8" s="90"/>
      <c r="H8" s="45"/>
      <c r="I8" s="2"/>
    </row>
    <row r="9" spans="1:9" ht="27" thickBot="1">
      <c r="A9" s="29" t="str">
        <f>+'S&amp;D'!A12</f>
        <v>Natural Gas Utility Distribution</v>
      </c>
      <c r="B9" s="45"/>
      <c r="C9" s="45"/>
      <c r="D9" s="45"/>
      <c r="E9" s="33" t="s">
        <v>337</v>
      </c>
      <c r="F9" s="45"/>
      <c r="H9" s="13"/>
    </row>
    <row r="10" spans="1:9" ht="21" thickBot="1">
      <c r="A10" s="32"/>
      <c r="B10" s="45"/>
      <c r="C10" s="45"/>
      <c r="D10" s="90"/>
      <c r="E10" s="38" t="s">
        <v>95</v>
      </c>
      <c r="F10" s="90"/>
      <c r="H10" s="13"/>
    </row>
    <row r="11" spans="1:9" ht="20.25">
      <c r="A11" s="32"/>
      <c r="B11" s="45"/>
      <c r="C11" s="45"/>
      <c r="D11" s="45"/>
      <c r="E11" s="36"/>
      <c r="F11" s="45"/>
      <c r="H11" s="13"/>
    </row>
    <row r="12" spans="1:9" ht="20.25">
      <c r="A12" s="32"/>
      <c r="B12" s="45"/>
      <c r="C12" s="45"/>
      <c r="D12" s="45"/>
      <c r="E12" s="36"/>
      <c r="F12" s="45"/>
      <c r="H12" s="13"/>
    </row>
    <row r="13" spans="1:9" ht="20.25">
      <c r="A13" s="32"/>
      <c r="B13" s="45"/>
      <c r="C13" s="45"/>
      <c r="D13" s="45"/>
      <c r="E13" s="36"/>
      <c r="F13" s="45"/>
      <c r="H13" s="13"/>
    </row>
    <row r="14" spans="1:9" ht="20.25">
      <c r="A14" s="32"/>
      <c r="B14" s="45"/>
      <c r="C14" s="45"/>
      <c r="D14" s="45"/>
      <c r="E14" s="14" t="s">
        <v>0</v>
      </c>
      <c r="F14" s="45"/>
      <c r="H14" s="13"/>
    </row>
    <row r="15" spans="1:9" ht="17.25" thickBot="1">
      <c r="A15" s="43" t="s">
        <v>0</v>
      </c>
      <c r="B15" s="43" t="s">
        <v>0</v>
      </c>
      <c r="C15" s="43" t="s">
        <v>0</v>
      </c>
      <c r="D15" s="43"/>
      <c r="E15" s="43"/>
      <c r="F15" s="43"/>
      <c r="H15" s="13"/>
    </row>
    <row r="16" spans="1:9" ht="17.25">
      <c r="A16" s="91"/>
      <c r="B16" s="92"/>
      <c r="C16" s="93"/>
      <c r="D16" s="255" t="s">
        <v>0</v>
      </c>
      <c r="E16" s="256" t="s">
        <v>0</v>
      </c>
      <c r="F16" s="255" t="s">
        <v>0</v>
      </c>
      <c r="H16" s="13"/>
    </row>
    <row r="17" spans="1:10" ht="17.25">
      <c r="A17" s="91" t="s">
        <v>0</v>
      </c>
      <c r="B17" s="92" t="s">
        <v>3</v>
      </c>
      <c r="C17" s="93" t="s">
        <v>5</v>
      </c>
      <c r="D17" s="94" t="s">
        <v>327</v>
      </c>
      <c r="E17" s="257" t="s">
        <v>79</v>
      </c>
      <c r="F17" s="94" t="s">
        <v>329</v>
      </c>
      <c r="H17" s="13"/>
    </row>
    <row r="18" spans="1:10" ht="17.25">
      <c r="A18" s="91"/>
      <c r="B18" s="92" t="s">
        <v>4</v>
      </c>
      <c r="C18" s="93" t="s">
        <v>6</v>
      </c>
      <c r="D18" s="94" t="s">
        <v>338</v>
      </c>
      <c r="E18" s="257" t="s">
        <v>338</v>
      </c>
      <c r="F18" s="94" t="s">
        <v>151</v>
      </c>
      <c r="H18" s="13"/>
    </row>
    <row r="19" spans="1:10" ht="18" thickBot="1">
      <c r="A19" s="100" t="s">
        <v>2</v>
      </c>
      <c r="B19" s="101" t="s">
        <v>0</v>
      </c>
      <c r="C19" s="102" t="s">
        <v>0</v>
      </c>
      <c r="D19" s="101" t="s">
        <v>0</v>
      </c>
      <c r="E19" s="124" t="s">
        <v>0</v>
      </c>
      <c r="F19" s="101" t="s">
        <v>0</v>
      </c>
      <c r="H19" s="13"/>
    </row>
    <row r="20" spans="1:10" ht="16.5">
      <c r="A20" s="288" t="s">
        <v>7</v>
      </c>
      <c r="B20" s="289" t="s">
        <v>7</v>
      </c>
      <c r="C20" s="290" t="s">
        <v>7</v>
      </c>
      <c r="D20" s="289" t="s">
        <v>7</v>
      </c>
      <c r="E20" s="125" t="s">
        <v>328</v>
      </c>
      <c r="F20" s="106"/>
      <c r="H20" s="13"/>
    </row>
    <row r="21" spans="1:10" ht="17.25">
      <c r="A21" s="91"/>
      <c r="B21" s="92"/>
      <c r="C21" s="258"/>
      <c r="D21" s="92"/>
      <c r="E21" s="258"/>
      <c r="F21" s="92"/>
      <c r="H21" s="13"/>
    </row>
    <row r="22" spans="1:10" ht="17.25">
      <c r="A22" s="108" t="str">
        <f>+'S&amp;D'!A22</f>
        <v>Atmos Energy Corp</v>
      </c>
      <c r="B22" s="91" t="str">
        <f>+'S&amp;D'!B22</f>
        <v>ATO</v>
      </c>
      <c r="C22" s="92" t="str">
        <f>+'S&amp;D'!C22</f>
        <v>Gas Utility</v>
      </c>
      <c r="D22" s="272">
        <f>+'S&amp;D'!D42</f>
        <v>16043466135.269999</v>
      </c>
      <c r="E22" s="274">
        <v>9836274000</v>
      </c>
      <c r="F22" s="110">
        <f>+D22/E22</f>
        <v>1.6310511617783319</v>
      </c>
      <c r="H22" s="13"/>
    </row>
    <row r="23" spans="1:10" ht="17.25">
      <c r="A23" s="108" t="str">
        <f>+'S&amp;D'!A23</f>
        <v>Black Hills Corporation</v>
      </c>
      <c r="B23" s="91" t="str">
        <f>+'S&amp;D'!B23</f>
        <v>BKH</v>
      </c>
      <c r="C23" s="92" t="str">
        <f>+'S&amp;D'!C23</f>
        <v>Electric Utility - West</v>
      </c>
      <c r="D23" s="272">
        <f>+'S&amp;D'!D43</f>
        <v>4649732147.8000002</v>
      </c>
      <c r="E23" s="274">
        <v>2994913000</v>
      </c>
      <c r="F23" s="110">
        <f t="shared" ref="F23:F32" si="0">+D23/E23</f>
        <v>1.5525433118758376</v>
      </c>
      <c r="H23" s="13"/>
    </row>
    <row r="24" spans="1:10" ht="17.25">
      <c r="A24" s="108" t="str">
        <f>+'S&amp;D'!A24</f>
        <v>CenterPoint Energy Inc.</v>
      </c>
      <c r="B24" s="91" t="str">
        <f>+'S&amp;D'!B24</f>
        <v>CNP</v>
      </c>
      <c r="C24" s="92" t="str">
        <f>+'S&amp;D'!C24</f>
        <v>Electric Utility - Central</v>
      </c>
      <c r="D24" s="272">
        <f>+'S&amp;D'!D44</f>
        <v>18879773573.689999</v>
      </c>
      <c r="E24" s="274">
        <v>10042000000</v>
      </c>
      <c r="F24" s="110">
        <f t="shared" si="0"/>
        <v>1.8800810170971916</v>
      </c>
      <c r="G24" t="s">
        <v>0</v>
      </c>
      <c r="H24" s="13"/>
    </row>
    <row r="25" spans="1:10" ht="17.25">
      <c r="A25" s="108" t="str">
        <f>+'S&amp;D'!A25</f>
        <v>CMS Energy Corporation</v>
      </c>
      <c r="B25" s="91" t="str">
        <f>+'S&amp;D'!B25</f>
        <v>CMS</v>
      </c>
      <c r="C25" s="92" t="str">
        <f>+'S&amp;D'!C25</f>
        <v>Electric Utility - Central</v>
      </c>
      <c r="D25" s="272">
        <f>+'S&amp;D'!D45</f>
        <v>18448029000</v>
      </c>
      <c r="E25" s="274">
        <v>7015000000</v>
      </c>
      <c r="F25" s="110">
        <f t="shared" si="0"/>
        <v>2.6297974340698502</v>
      </c>
      <c r="H25" s="13"/>
    </row>
    <row r="26" spans="1:10" ht="17.25">
      <c r="A26" s="108" t="str">
        <f>+'S&amp;D'!A26</f>
        <v>New Jersey Resources Corp</v>
      </c>
      <c r="B26" s="91" t="str">
        <f>+'S&amp;D'!B26</f>
        <v>NJR</v>
      </c>
      <c r="C26" s="92" t="str">
        <f>+'S&amp;D'!C26</f>
        <v>Gas Utility</v>
      </c>
      <c r="D26" s="272">
        <f>+'S&amp;D'!D46</f>
        <v>4803389173.8000002</v>
      </c>
      <c r="E26" s="274">
        <v>1922795000</v>
      </c>
      <c r="F26" s="110">
        <f t="shared" si="0"/>
        <v>2.4981285960281778</v>
      </c>
      <c r="H26" s="13"/>
      <c r="J26" s="10" t="s">
        <v>0</v>
      </c>
    </row>
    <row r="27" spans="1:10" ht="17.25">
      <c r="A27" s="108" t="str">
        <f>+'S&amp;D'!A27</f>
        <v>NISOURCE Inc.</v>
      </c>
      <c r="B27" s="91" t="str">
        <f>+'S&amp;D'!B27</f>
        <v>NI</v>
      </c>
      <c r="C27" s="92" t="str">
        <f>+'S&amp;D'!C27</f>
        <v>Gas Utility</v>
      </c>
      <c r="D27" s="272">
        <f>+'S&amp;D'!D47</f>
        <v>11300950146.84</v>
      </c>
      <c r="E27" s="274">
        <v>7575400000</v>
      </c>
      <c r="F27" s="110">
        <f t="shared" si="0"/>
        <v>1.4917958321461573</v>
      </c>
      <c r="H27" s="13"/>
    </row>
    <row r="28" spans="1:10" ht="17.25">
      <c r="A28" s="108" t="str">
        <f>+'S&amp;D'!A28</f>
        <v xml:space="preserve">Northwest Natural Holding Company </v>
      </c>
      <c r="B28" s="91" t="str">
        <f>+'S&amp;D'!B28</f>
        <v>NWN</v>
      </c>
      <c r="C28" s="92" t="str">
        <f>+'S&amp;D'!C28</f>
        <v>Gas Utility</v>
      </c>
      <c r="D28" s="272">
        <f>+'S&amp;D'!D48</f>
        <v>1690634750.0000002</v>
      </c>
      <c r="E28" s="274">
        <v>1175441000</v>
      </c>
      <c r="F28" s="110">
        <f t="shared" si="0"/>
        <v>1.4382982642259374</v>
      </c>
      <c r="G28" s="384" t="s">
        <v>0</v>
      </c>
      <c r="H28" s="13"/>
    </row>
    <row r="29" spans="1:10" ht="17.25">
      <c r="A29" s="108" t="str">
        <f>+'S&amp;D'!A29</f>
        <v>One Gas INC</v>
      </c>
      <c r="B29" s="91" t="str">
        <f>+'S&amp;D'!B29</f>
        <v>OGS</v>
      </c>
      <c r="C29" s="92" t="str">
        <f>+'S&amp;D'!C29</f>
        <v>Gas Utility</v>
      </c>
      <c r="D29" s="272">
        <f>+'S&amp;D'!D49</f>
        <v>4191098516.8800001</v>
      </c>
      <c r="E29" s="274">
        <v>2584426000</v>
      </c>
      <c r="F29" s="110">
        <f t="shared" si="0"/>
        <v>1.6216748000832681</v>
      </c>
      <c r="H29" s="13"/>
    </row>
    <row r="30" spans="1:10" ht="17.25">
      <c r="A30" s="108" t="str">
        <f>+'S&amp;D'!A30</f>
        <v>Southwest Gas Holdings, Inc</v>
      </c>
      <c r="B30" s="91" t="str">
        <f>+'S&amp;D'!B30</f>
        <v>SWX</v>
      </c>
      <c r="C30" s="92" t="str">
        <f>+'S&amp;D'!C30</f>
        <v>Gas Utility</v>
      </c>
      <c r="D30" s="272">
        <f>+'S&amp;D'!D50</f>
        <v>4153332568.8400002</v>
      </c>
      <c r="E30" s="274">
        <v>3058759000</v>
      </c>
      <c r="F30" s="110">
        <f t="shared" si="0"/>
        <v>1.3578489082794689</v>
      </c>
      <c r="G30" t="s">
        <v>0</v>
      </c>
      <c r="H30" s="13"/>
    </row>
    <row r="31" spans="1:10" ht="17.25">
      <c r="A31" s="108" t="str">
        <f>+'S&amp;D'!A31</f>
        <v>Spire Inc / Laclede Group Inc</v>
      </c>
      <c r="B31" s="91" t="str">
        <f>+'S&amp;D'!B31</f>
        <v>SR</v>
      </c>
      <c r="C31" s="92" t="str">
        <f>+'S&amp;D'!C31</f>
        <v>Gas Utility</v>
      </c>
      <c r="D31" s="272">
        <f>+'S&amp;D'!D51</f>
        <v>3618021186.5599999</v>
      </c>
      <c r="E31" s="274">
        <v>2864100000</v>
      </c>
      <c r="F31" s="110">
        <f t="shared" si="0"/>
        <v>1.2632314467232288</v>
      </c>
      <c r="H31" s="13"/>
    </row>
    <row r="32" spans="1:10" ht="18" thickBot="1">
      <c r="A32" s="112" t="str">
        <f>+'S&amp;D'!A32</f>
        <v>WEC Energy Group</v>
      </c>
      <c r="B32" s="100" t="str">
        <f>+'S&amp;D'!B32</f>
        <v>WEC</v>
      </c>
      <c r="C32" s="101" t="str">
        <f>+'S&amp;D'!C32</f>
        <v>Electric Utility - Central</v>
      </c>
      <c r="D32" s="273">
        <f>+'S&amp;D'!D52</f>
        <v>29575141626.560001</v>
      </c>
      <c r="E32" s="274">
        <v>11376900000</v>
      </c>
      <c r="F32" s="110">
        <f t="shared" si="0"/>
        <v>2.5995782354208967</v>
      </c>
      <c r="H32" s="13"/>
    </row>
    <row r="33" spans="1:8" ht="27" customHeight="1" thickBot="1">
      <c r="A33" s="114"/>
      <c r="B33" s="114"/>
      <c r="C33" s="114"/>
      <c r="D33" s="114"/>
      <c r="E33" s="286" t="s">
        <v>336</v>
      </c>
      <c r="F33" s="405">
        <f>AVERAGE(F22:F32)</f>
        <v>1.8149117279753042</v>
      </c>
      <c r="H33" s="13"/>
    </row>
    <row r="34" spans="1:8" ht="17.25">
      <c r="A34" s="114"/>
      <c r="B34" s="114"/>
      <c r="C34" s="114"/>
      <c r="D34" s="114"/>
      <c r="E34" s="267"/>
      <c r="F34" s="268"/>
      <c r="H34" s="13"/>
    </row>
    <row r="35" spans="1:8" ht="17.25">
      <c r="A35" s="114"/>
      <c r="B35" s="114"/>
      <c r="C35" s="114"/>
      <c r="D35" s="114"/>
      <c r="E35" s="267"/>
      <c r="F35" s="268"/>
      <c r="H35" s="13"/>
    </row>
    <row r="36" spans="1:8" ht="17.25">
      <c r="A36" s="114"/>
      <c r="B36" s="114"/>
      <c r="C36" s="114"/>
      <c r="D36" s="114"/>
      <c r="E36" s="267"/>
      <c r="F36" s="268"/>
      <c r="H36" s="13"/>
    </row>
    <row r="37" spans="1:8" ht="18" thickBot="1">
      <c r="A37" s="114"/>
      <c r="B37" s="114"/>
      <c r="C37" s="114"/>
      <c r="D37" s="114"/>
      <c r="E37" s="114"/>
      <c r="F37" s="114"/>
      <c r="H37" s="13"/>
    </row>
    <row r="38" spans="1:8" ht="17.25">
      <c r="A38" s="269"/>
      <c r="B38" s="270"/>
      <c r="C38" s="271"/>
      <c r="D38" s="255" t="s">
        <v>0</v>
      </c>
      <c r="E38" s="256" t="s">
        <v>0</v>
      </c>
      <c r="F38" s="255" t="s">
        <v>0</v>
      </c>
      <c r="H38" s="13"/>
    </row>
    <row r="39" spans="1:8" ht="17.25">
      <c r="A39" s="91" t="s">
        <v>0</v>
      </c>
      <c r="B39" s="92" t="s">
        <v>3</v>
      </c>
      <c r="C39" s="93" t="s">
        <v>5</v>
      </c>
      <c r="D39" s="94" t="s">
        <v>327</v>
      </c>
      <c r="E39" s="257" t="s">
        <v>79</v>
      </c>
      <c r="F39" s="94" t="s">
        <v>329</v>
      </c>
      <c r="H39" s="13"/>
    </row>
    <row r="40" spans="1:8" ht="17.25">
      <c r="A40" s="91"/>
      <c r="B40" s="92" t="s">
        <v>4</v>
      </c>
      <c r="C40" s="93" t="s">
        <v>6</v>
      </c>
      <c r="D40" s="94" t="s">
        <v>330</v>
      </c>
      <c r="E40" s="257" t="s">
        <v>330</v>
      </c>
      <c r="F40" s="94" t="s">
        <v>151</v>
      </c>
    </row>
    <row r="41" spans="1:8" ht="18" thickBot="1">
      <c r="A41" s="100" t="s">
        <v>2</v>
      </c>
      <c r="B41" s="101" t="s">
        <v>0</v>
      </c>
      <c r="C41" s="102" t="s">
        <v>0</v>
      </c>
      <c r="D41" s="101" t="s">
        <v>0</v>
      </c>
      <c r="E41" s="124" t="s">
        <v>0</v>
      </c>
      <c r="F41" s="101" t="s">
        <v>0</v>
      </c>
    </row>
    <row r="42" spans="1:8">
      <c r="A42" s="288" t="s">
        <v>7</v>
      </c>
      <c r="B42" s="289" t="s">
        <v>7</v>
      </c>
      <c r="C42" s="362" t="s">
        <v>7</v>
      </c>
      <c r="D42" s="289" t="s">
        <v>328</v>
      </c>
      <c r="E42" s="125" t="s">
        <v>328</v>
      </c>
      <c r="F42" s="106"/>
    </row>
    <row r="43" spans="1:8" ht="17.25">
      <c r="A43" s="91"/>
      <c r="B43" s="92"/>
      <c r="C43" s="93"/>
      <c r="D43" s="92"/>
      <c r="E43" s="258"/>
      <c r="F43" s="92"/>
    </row>
    <row r="44" spans="1:8" ht="17.25">
      <c r="A44" s="108" t="str">
        <f>+'S&amp;D'!A22</f>
        <v>Atmos Energy Corp</v>
      </c>
      <c r="B44" s="91" t="str">
        <f>+'S&amp;D'!B22</f>
        <v>ATO</v>
      </c>
      <c r="C44" s="91" t="str">
        <f>+'S&amp;D'!C22</f>
        <v>Gas Utility</v>
      </c>
      <c r="D44" s="272">
        <f>+'S&amp;D'!G42</f>
        <v>7850126464.4938354</v>
      </c>
      <c r="E44" s="274">
        <f>+'S&amp;D'!J22</f>
        <v>8753279000</v>
      </c>
      <c r="F44" s="110">
        <f>+D44/E44</f>
        <v>0.89682123287671234</v>
      </c>
    </row>
    <row r="45" spans="1:8" ht="17.25">
      <c r="A45" s="108" t="str">
        <f>+'S&amp;D'!A23</f>
        <v>Black Hills Corporation</v>
      </c>
      <c r="B45" s="91" t="str">
        <f>+'S&amp;D'!B23</f>
        <v>BKH</v>
      </c>
      <c r="C45" s="91" t="str">
        <f>+'S&amp;D'!C23</f>
        <v>Electric Utility - West</v>
      </c>
      <c r="D45" s="272">
        <f>+'S&amp;D'!G43</f>
        <v>3760848000</v>
      </c>
      <c r="E45" s="274">
        <f>+'S&amp;D'!J23</f>
        <v>4132340000</v>
      </c>
      <c r="F45" s="110">
        <f t="shared" ref="F45:F54" si="1">+D45/E45</f>
        <v>0.91010129853787447</v>
      </c>
    </row>
    <row r="46" spans="1:8" ht="17.25">
      <c r="A46" s="108" t="str">
        <f>+'S&amp;D'!A24</f>
        <v>CenterPoint Energy Inc.</v>
      </c>
      <c r="B46" s="91" t="str">
        <f>+'S&amp;D'!B24</f>
        <v>CNP</v>
      </c>
      <c r="C46" s="91" t="str">
        <f>+'S&amp;D'!C24</f>
        <v>Electric Utility - Central</v>
      </c>
      <c r="D46" s="272">
        <f>+'S&amp;D'!G44</f>
        <v>14990000000</v>
      </c>
      <c r="E46" s="274">
        <f>+'S&amp;D'!J24</f>
        <v>16338000000</v>
      </c>
      <c r="F46" s="110">
        <f t="shared" si="1"/>
        <v>0.91749296119476065</v>
      </c>
    </row>
    <row r="47" spans="1:8" ht="17.25">
      <c r="A47" s="108" t="str">
        <f>+'S&amp;D'!A25</f>
        <v>CMS Energy Corporation</v>
      </c>
      <c r="B47" s="91" t="str">
        <f>+'S&amp;D'!B25</f>
        <v>CMS</v>
      </c>
      <c r="C47" s="91" t="str">
        <f>+'S&amp;D'!C25</f>
        <v>Electric Utility - Central</v>
      </c>
      <c r="D47" s="272">
        <f>+'S&amp;D'!G45</f>
        <v>12451095975.232199</v>
      </c>
      <c r="E47" s="274">
        <f>+'S&amp;D'!J25</f>
        <v>14289000000</v>
      </c>
      <c r="F47" s="110">
        <f t="shared" si="1"/>
        <v>0.87137630171685898</v>
      </c>
    </row>
    <row r="48" spans="1:8" ht="17.25">
      <c r="A48" s="108" t="str">
        <f>+'S&amp;D'!A26</f>
        <v>New Jersey Resources Corp</v>
      </c>
      <c r="B48" s="91" t="str">
        <f>+'S&amp;D'!B26</f>
        <v>NJR</v>
      </c>
      <c r="C48" s="91" t="str">
        <f>+'S&amp;D'!C26</f>
        <v>Gas Utility</v>
      </c>
      <c r="D48" s="272">
        <f>+'S&amp;D'!G46</f>
        <v>2351550863.7005014</v>
      </c>
      <c r="E48" s="274">
        <f>+'S&amp;D'!J26</f>
        <v>2771001000</v>
      </c>
      <c r="F48" s="110">
        <f t="shared" si="1"/>
        <v>0.84862865935468856</v>
      </c>
    </row>
    <row r="49" spans="1:6" ht="17.25">
      <c r="A49" s="108" t="str">
        <f>+'S&amp;D'!A27</f>
        <v>NISOURCE Inc.</v>
      </c>
      <c r="B49" s="91" t="str">
        <f>+'S&amp;D'!B27</f>
        <v>NI</v>
      </c>
      <c r="C49" s="91" t="str">
        <f>+'S&amp;D'!C27</f>
        <v>Gas Utility</v>
      </c>
      <c r="D49" s="272">
        <f>+'S&amp;D'!G47</f>
        <v>8479400000</v>
      </c>
      <c r="E49" s="274">
        <f>+'S&amp;D'!J27</f>
        <v>9553600000</v>
      </c>
      <c r="F49" s="110">
        <f t="shared" si="1"/>
        <v>0.88756071009881088</v>
      </c>
    </row>
    <row r="50" spans="1:6" ht="17.25">
      <c r="A50" s="108" t="str">
        <f>+'S&amp;D'!A28</f>
        <v xml:space="preserve">Northwest Natural Holding Company </v>
      </c>
      <c r="B50" s="91" t="str">
        <f>+'S&amp;D'!B28</f>
        <v>NWN</v>
      </c>
      <c r="C50" s="91" t="str">
        <f>+'S&amp;D'!C28</f>
        <v>Gas Utility</v>
      </c>
      <c r="D50" s="272">
        <f>+'S&amp;D'!G48</f>
        <v>1148395000</v>
      </c>
      <c r="E50" s="274">
        <f>+'S&amp;D'!J28</f>
        <v>1336864000</v>
      </c>
      <c r="F50" s="110">
        <f t="shared" si="1"/>
        <v>0.859021560906719</v>
      </c>
    </row>
    <row r="51" spans="1:6" ht="17.25">
      <c r="A51" s="108" t="str">
        <f>+'S&amp;D'!A29</f>
        <v>One Gas INC</v>
      </c>
      <c r="B51" s="91" t="str">
        <f>+'S&amp;D'!B29</f>
        <v>OGS</v>
      </c>
      <c r="C51" s="91" t="str">
        <f>+'S&amp;D'!C29</f>
        <v>Gas Utility</v>
      </c>
      <c r="D51" s="272">
        <f>+'S&amp;D'!G49</f>
        <v>2483758333.333333</v>
      </c>
      <c r="E51" s="274">
        <f>+'S&amp;D'!J29</f>
        <v>2682459000</v>
      </c>
      <c r="F51" s="110">
        <f t="shared" si="1"/>
        <v>0.92592592592592582</v>
      </c>
    </row>
    <row r="52" spans="1:6" ht="17.25">
      <c r="A52" s="108" t="str">
        <f>+'S&amp;D'!A30</f>
        <v>Southwest Gas Holdings, Inc</v>
      </c>
      <c r="B52" s="91" t="str">
        <f>+'S&amp;D'!B30</f>
        <v>SWX</v>
      </c>
      <c r="C52" s="91" t="str">
        <f>+'S&amp;D'!C30</f>
        <v>Gas Utility</v>
      </c>
      <c r="D52" s="272">
        <f>+'S&amp;D'!G50</f>
        <v>4225463200</v>
      </c>
      <c r="E52" s="274">
        <f>+'S&amp;D'!J30</f>
        <v>4447856000</v>
      </c>
      <c r="F52" s="110">
        <f t="shared" si="1"/>
        <v>0.95</v>
      </c>
    </row>
    <row r="53" spans="1:6" ht="17.25">
      <c r="A53" s="108" t="str">
        <f>+'S&amp;D'!A31</f>
        <v>Spire Inc / Laclede Group Inc</v>
      </c>
      <c r="B53" s="91" t="str">
        <f>+'S&amp;D'!B31</f>
        <v>SR</v>
      </c>
      <c r="C53" s="91" t="str">
        <f>+'S&amp;D'!C31</f>
        <v>Gas Utility</v>
      </c>
      <c r="D53" s="272">
        <f>+'S&amp;D'!G51</f>
        <v>3083700000</v>
      </c>
      <c r="E53" s="274">
        <f>+'S&amp;D'!J31</f>
        <v>3412900000</v>
      </c>
      <c r="F53" s="110">
        <f t="shared" si="1"/>
        <v>0.90354244191157085</v>
      </c>
    </row>
    <row r="54" spans="1:6" ht="18" thickBot="1">
      <c r="A54" s="112" t="str">
        <f>+'S&amp;D'!A32</f>
        <v>WEC Energy Group</v>
      </c>
      <c r="B54" s="100" t="str">
        <f>+'S&amp;D'!B32</f>
        <v>WEC</v>
      </c>
      <c r="C54" s="100" t="str">
        <f>+'S&amp;D'!C32</f>
        <v>Electric Utility - Central</v>
      </c>
      <c r="D54" s="273">
        <f>+'S&amp;D'!G52</f>
        <v>14104500000</v>
      </c>
      <c r="E54" s="274">
        <f>+'S&amp;D'!J32</f>
        <v>15647400000</v>
      </c>
      <c r="F54" s="110">
        <f t="shared" si="1"/>
        <v>0.90139575903984048</v>
      </c>
    </row>
    <row r="55" spans="1:6" ht="27.75" customHeight="1" thickBot="1">
      <c r="E55" s="286" t="s">
        <v>336</v>
      </c>
      <c r="F55" s="405">
        <f>AVERAGE(F44:F54)</f>
        <v>0.89744244105125093</v>
      </c>
    </row>
    <row r="60" spans="1:6">
      <c r="C60" s="259" t="s">
        <v>331</v>
      </c>
      <c r="D60" s="259" t="s">
        <v>332</v>
      </c>
      <c r="E60" s="259"/>
    </row>
    <row r="61" spans="1:6">
      <c r="A61" s="261"/>
      <c r="B61" s="261"/>
      <c r="C61" s="260" t="s">
        <v>36</v>
      </c>
      <c r="D61" s="260" t="s">
        <v>333</v>
      </c>
      <c r="E61" s="260" t="s">
        <v>334</v>
      </c>
    </row>
    <row r="62" spans="1:6" ht="17.25">
      <c r="A62" s="93" t="s">
        <v>40</v>
      </c>
      <c r="B62" s="151" t="s">
        <v>0</v>
      </c>
      <c r="C62" s="151">
        <f>+'Yield CapRate'!C23</f>
        <v>0.59</v>
      </c>
      <c r="D62" s="265">
        <f>+F33</f>
        <v>1.8149117279753042</v>
      </c>
      <c r="E62" s="266">
        <f>+C62*D62</f>
        <v>1.0707979195054294</v>
      </c>
      <c r="F62" s="152" t="s">
        <v>0</v>
      </c>
    </row>
    <row r="63" spans="1:6" ht="17.25">
      <c r="A63" s="262" t="s">
        <v>42</v>
      </c>
      <c r="B63" s="263" t="str">
        <f>'S&amp;D'!I39</f>
        <v xml:space="preserve"> </v>
      </c>
      <c r="C63" s="263">
        <f>+'Yield CapRate'!C25</f>
        <v>0.41</v>
      </c>
      <c r="D63" s="264">
        <f>+F55</f>
        <v>0.89744244105125093</v>
      </c>
      <c r="E63" s="264">
        <f>+C63*D63</f>
        <v>0.36795140083101285</v>
      </c>
      <c r="F63" s="152" t="s">
        <v>0</v>
      </c>
    </row>
    <row r="64" spans="1:6" ht="17.25">
      <c r="D64" s="130" t="s">
        <v>335</v>
      </c>
      <c r="E64" s="287">
        <f>+E62+E63</f>
        <v>1.4387493203364423</v>
      </c>
    </row>
    <row r="67" spans="1:1" ht="20.25">
      <c r="A67" s="32" t="s">
        <v>479</v>
      </c>
    </row>
    <row r="68" spans="1:1" ht="20.25">
      <c r="A68" s="32" t="s">
        <v>406</v>
      </c>
    </row>
  </sheetData>
  <pageMargins left="0.25" right="0.25" top="0.75" bottom="0.75" header="0.3" footer="0.3"/>
  <pageSetup scale="42" orientation="landscape" r:id="rId1"/>
  <rowBreaks count="1" manualBreakCount="1">
    <brk id="37" max="6" man="1"/>
  </rowBreaks>
  <colBreaks count="1" manualBreakCount="1">
    <brk id="8" max="71"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145E-BF36-4A2C-868C-9B0DC0104C72}">
  <sheetPr>
    <tabColor rgb="FF92D050"/>
  </sheetPr>
  <dimension ref="A1:L80"/>
  <sheetViews>
    <sheetView view="pageBreakPreview" zoomScale="70" zoomScaleNormal="80" zoomScaleSheetLayoutView="70" workbookViewId="0">
      <selection activeCell="H35" sqref="H35"/>
    </sheetView>
  </sheetViews>
  <sheetFormatPr defaultRowHeight="15"/>
  <cols>
    <col min="1" max="1" width="45.140625" customWidth="1"/>
    <col min="2" max="2" width="15.28515625" customWidth="1"/>
    <col min="3" max="3" width="10.7109375" customWidth="1"/>
    <col min="4" max="4" width="21.7109375" customWidth="1"/>
    <col min="5" max="5" width="22.28515625" customWidth="1"/>
    <col min="6" max="6" width="26.5703125" customWidth="1"/>
    <col min="7" max="7" width="26.42578125" customWidth="1"/>
    <col min="8" max="8" width="23.85546875" customWidth="1"/>
    <col min="9" max="9" width="15" customWidth="1"/>
    <col min="10" max="10" width="14.140625" bestFit="1" customWidth="1"/>
    <col min="11" max="11" width="16.7109375" customWidth="1"/>
    <col min="12" max="12" width="23.140625" customWidth="1"/>
  </cols>
  <sheetData>
    <row r="1" spans="1:12" ht="26.25">
      <c r="A1" s="25" t="s">
        <v>1</v>
      </c>
      <c r="B1" s="13"/>
      <c r="C1" s="13"/>
      <c r="D1" s="13"/>
      <c r="E1" s="13"/>
      <c r="F1" s="13"/>
      <c r="G1" s="13"/>
      <c r="H1" s="13"/>
      <c r="I1" s="13"/>
      <c r="J1" s="13"/>
      <c r="K1" s="13"/>
      <c r="L1" s="13"/>
    </row>
    <row r="2" spans="1:12" ht="17.25">
      <c r="A2" s="26" t="s">
        <v>9</v>
      </c>
      <c r="B2" s="13"/>
      <c r="C2" s="13"/>
      <c r="D2" s="13"/>
      <c r="E2" s="13"/>
      <c r="F2" s="13"/>
      <c r="G2" s="13"/>
      <c r="H2" s="13"/>
      <c r="I2" s="13"/>
      <c r="J2" s="13"/>
      <c r="K2" s="13"/>
      <c r="L2" s="13"/>
    </row>
    <row r="3" spans="1:12" ht="16.5">
      <c r="A3" s="27" t="s">
        <v>81</v>
      </c>
      <c r="B3" s="13"/>
      <c r="C3" s="13"/>
      <c r="D3" s="13"/>
      <c r="E3" s="13"/>
      <c r="F3" s="13"/>
      <c r="G3" s="13"/>
      <c r="H3" s="13"/>
      <c r="I3" s="13"/>
      <c r="J3" s="13"/>
      <c r="K3" s="13"/>
      <c r="L3" s="13"/>
    </row>
    <row r="4" spans="1:12" ht="16.5">
      <c r="A4" s="27"/>
      <c r="B4" s="13"/>
      <c r="C4" s="13"/>
      <c r="D4" s="13"/>
      <c r="E4" s="13"/>
      <c r="F4" s="13"/>
      <c r="G4" s="13"/>
      <c r="H4" s="13"/>
      <c r="I4" s="13"/>
      <c r="J4" s="13"/>
      <c r="K4" s="13"/>
      <c r="L4" s="13"/>
    </row>
    <row r="5" spans="1:12" ht="16.5">
      <c r="A5" s="27"/>
      <c r="B5" s="13"/>
      <c r="C5" s="13"/>
      <c r="D5" s="13"/>
      <c r="E5" s="13"/>
      <c r="F5" s="13"/>
      <c r="G5" s="13"/>
      <c r="H5" s="13"/>
      <c r="I5" s="13"/>
      <c r="J5" s="13"/>
      <c r="K5" s="13"/>
      <c r="L5" s="13"/>
    </row>
    <row r="6" spans="1:12" ht="16.5">
      <c r="A6" s="27"/>
      <c r="B6" s="13"/>
      <c r="C6" s="13"/>
      <c r="D6" s="13"/>
      <c r="E6" s="13"/>
      <c r="F6" s="13"/>
      <c r="G6" s="13"/>
      <c r="H6" s="13"/>
      <c r="I6" s="13"/>
      <c r="J6" s="13"/>
      <c r="K6" s="13"/>
      <c r="L6" s="13"/>
    </row>
    <row r="7" spans="1:12" ht="17.25" thickBot="1">
      <c r="A7" s="13"/>
      <c r="B7" s="13"/>
      <c r="C7" s="13"/>
      <c r="D7" s="13"/>
      <c r="E7" s="13"/>
      <c r="F7" s="30"/>
      <c r="G7" s="30"/>
      <c r="H7" s="31" t="s">
        <v>0</v>
      </c>
      <c r="I7" s="13"/>
      <c r="J7" s="13"/>
      <c r="K7" s="13"/>
      <c r="L7" s="13"/>
    </row>
    <row r="8" spans="1:12" ht="27" thickBot="1">
      <c r="A8" s="281" t="str">
        <f>+'S&amp;D'!A12</f>
        <v>Natural Gas Utility Distribution</v>
      </c>
      <c r="B8" s="282"/>
      <c r="C8" s="211"/>
      <c r="D8" s="13"/>
      <c r="E8" s="13"/>
      <c r="F8" s="13"/>
      <c r="G8" s="33" t="s">
        <v>97</v>
      </c>
      <c r="H8" s="13"/>
      <c r="I8" s="13"/>
      <c r="J8" s="13"/>
      <c r="K8" s="13"/>
      <c r="L8" s="13"/>
    </row>
    <row r="9" spans="1:12" ht="20.25">
      <c r="A9" s="32"/>
      <c r="B9" s="13"/>
      <c r="C9" s="13"/>
      <c r="D9" s="13"/>
      <c r="E9" s="13"/>
      <c r="F9" s="13"/>
      <c r="G9" s="93" t="s">
        <v>98</v>
      </c>
      <c r="H9" s="13"/>
      <c r="I9" s="13"/>
      <c r="J9" s="13"/>
      <c r="K9" s="13"/>
      <c r="L9" s="13"/>
    </row>
    <row r="10" spans="1:12" ht="18" customHeight="1" thickBot="1">
      <c r="A10" s="42" t="s">
        <v>0</v>
      </c>
      <c r="B10" s="42" t="s">
        <v>0</v>
      </c>
      <c r="C10" s="42" t="s">
        <v>0</v>
      </c>
      <c r="D10" s="13"/>
      <c r="E10" s="13"/>
      <c r="F10" s="35" t="s">
        <v>0</v>
      </c>
      <c r="G10" s="38" t="s">
        <v>95</v>
      </c>
      <c r="H10" s="35" t="s">
        <v>0</v>
      </c>
      <c r="I10" s="42" t="s">
        <v>0</v>
      </c>
      <c r="J10" s="13"/>
      <c r="K10" s="13"/>
      <c r="L10" s="13"/>
    </row>
    <row r="11" spans="1:12" ht="18" customHeight="1">
      <c r="A11" s="42"/>
      <c r="B11" s="42"/>
      <c r="C11" s="42"/>
      <c r="D11" s="13"/>
      <c r="E11" s="13"/>
      <c r="J11" s="13"/>
      <c r="K11" s="13"/>
      <c r="L11" s="13"/>
    </row>
    <row r="12" spans="1:12" ht="18" customHeight="1">
      <c r="A12" s="42"/>
      <c r="B12" s="42"/>
      <c r="C12" s="42"/>
      <c r="D12" s="13"/>
      <c r="E12" s="13"/>
      <c r="G12" s="14" t="s">
        <v>0</v>
      </c>
      <c r="H12" t="s">
        <v>0</v>
      </c>
      <c r="J12" s="13"/>
      <c r="K12" s="13"/>
      <c r="L12" s="13"/>
    </row>
    <row r="13" spans="1:12" ht="17.25" thickBot="1">
      <c r="A13" s="35"/>
      <c r="B13" s="35"/>
      <c r="C13" s="35"/>
      <c r="D13" s="35"/>
      <c r="E13" s="38"/>
      <c r="F13" s="35"/>
      <c r="G13" s="35"/>
      <c r="H13" s="35"/>
      <c r="I13" s="35"/>
      <c r="J13" s="30"/>
      <c r="K13" s="30"/>
      <c r="L13" s="30"/>
    </row>
    <row r="14" spans="1:12" ht="15" customHeight="1" thickBot="1">
      <c r="A14" s="35" t="s">
        <v>24</v>
      </c>
      <c r="B14" s="35" t="s">
        <v>110</v>
      </c>
      <c r="C14" s="35" t="s">
        <v>111</v>
      </c>
      <c r="D14" s="43" t="s">
        <v>112</v>
      </c>
      <c r="E14" s="35" t="s">
        <v>113</v>
      </c>
      <c r="F14" s="35" t="s">
        <v>114</v>
      </c>
      <c r="G14" s="35" t="s">
        <v>115</v>
      </c>
      <c r="H14" s="35" t="s">
        <v>116</v>
      </c>
      <c r="I14" s="35" t="s">
        <v>117</v>
      </c>
      <c r="J14" s="35" t="s">
        <v>118</v>
      </c>
      <c r="K14" s="35" t="s">
        <v>119</v>
      </c>
      <c r="L14" s="35" t="s">
        <v>127</v>
      </c>
    </row>
    <row r="15" spans="1:12" ht="16.5">
      <c r="A15" s="36" t="s">
        <v>0</v>
      </c>
      <c r="B15" s="36" t="s">
        <v>3</v>
      </c>
      <c r="C15" s="36" t="s">
        <v>99</v>
      </c>
      <c r="D15" s="36" t="s">
        <v>102</v>
      </c>
      <c r="E15" s="36" t="s">
        <v>102</v>
      </c>
      <c r="F15" s="36" t="s">
        <v>103</v>
      </c>
      <c r="G15" s="36" t="s">
        <v>106</v>
      </c>
      <c r="H15" s="36" t="s">
        <v>108</v>
      </c>
      <c r="I15" s="36" t="s">
        <v>130</v>
      </c>
      <c r="J15" s="36" t="s">
        <v>130</v>
      </c>
      <c r="K15" s="36" t="s">
        <v>123</v>
      </c>
      <c r="L15" s="36" t="s">
        <v>125</v>
      </c>
    </row>
    <row r="16" spans="1:12" ht="17.25" thickBot="1">
      <c r="A16" s="38" t="s">
        <v>2</v>
      </c>
      <c r="B16" s="38" t="s">
        <v>4</v>
      </c>
      <c r="C16" s="38" t="s">
        <v>100</v>
      </c>
      <c r="D16" s="38" t="s">
        <v>105</v>
      </c>
      <c r="E16" s="38" t="s">
        <v>104</v>
      </c>
      <c r="F16" s="38" t="s">
        <v>19</v>
      </c>
      <c r="G16" s="38" t="s">
        <v>107</v>
      </c>
      <c r="H16" s="38" t="s">
        <v>109</v>
      </c>
      <c r="I16" s="38" t="s">
        <v>0</v>
      </c>
      <c r="J16" s="38" t="s">
        <v>0</v>
      </c>
      <c r="K16" s="38" t="s">
        <v>124</v>
      </c>
      <c r="L16" s="38" t="s">
        <v>106</v>
      </c>
    </row>
    <row r="17" spans="1:12">
      <c r="A17" s="44" t="s">
        <v>7</v>
      </c>
      <c r="B17" s="44" t="s">
        <v>7</v>
      </c>
      <c r="C17" s="44" t="s">
        <v>101</v>
      </c>
      <c r="D17" s="44" t="s">
        <v>271</v>
      </c>
      <c r="E17" s="44" t="s">
        <v>271</v>
      </c>
      <c r="F17" s="44" t="s">
        <v>128</v>
      </c>
      <c r="G17" s="44" t="s">
        <v>270</v>
      </c>
      <c r="H17" s="44" t="s">
        <v>120</v>
      </c>
      <c r="I17" s="44" t="s">
        <v>121</v>
      </c>
      <c r="J17" s="44" t="s">
        <v>122</v>
      </c>
      <c r="K17" s="44" t="s">
        <v>129</v>
      </c>
      <c r="L17" s="44" t="s">
        <v>126</v>
      </c>
    </row>
    <row r="18" spans="1:12" ht="16.5">
      <c r="A18" s="36"/>
      <c r="B18" s="36"/>
      <c r="C18" s="36"/>
      <c r="D18" s="36"/>
      <c r="E18" s="36"/>
      <c r="F18" s="36"/>
      <c r="G18" s="36" t="s">
        <v>0</v>
      </c>
      <c r="H18" s="36" t="s">
        <v>0</v>
      </c>
      <c r="I18" s="36"/>
      <c r="J18" s="36"/>
      <c r="K18" s="36"/>
      <c r="L18" s="36"/>
    </row>
    <row r="19" spans="1:12" ht="16.5">
      <c r="A19" s="13"/>
      <c r="B19" s="13"/>
      <c r="C19" s="13"/>
      <c r="D19" s="13" t="s">
        <v>0</v>
      </c>
      <c r="E19" s="13" t="s">
        <v>0</v>
      </c>
      <c r="F19" s="13" t="s">
        <v>0</v>
      </c>
      <c r="G19" s="13" t="s">
        <v>0</v>
      </c>
      <c r="H19" s="13" t="s">
        <v>0</v>
      </c>
      <c r="I19" s="13"/>
      <c r="J19" s="13"/>
      <c r="K19" s="13"/>
      <c r="L19" s="13"/>
    </row>
    <row r="20" spans="1:12" ht="22.5" customHeight="1">
      <c r="A20" s="66" t="str">
        <f>+'S&amp;D'!A22</f>
        <v>Atmos Energy Corp</v>
      </c>
      <c r="B20" s="93" t="str">
        <f>+'S&amp;D'!B22</f>
        <v>ATO</v>
      </c>
      <c r="C20" s="69">
        <f>+'Growth &amp; Inflation Rates'!$D$93</f>
        <v>2.366E-2</v>
      </c>
      <c r="D20" s="317">
        <v>20987313000</v>
      </c>
      <c r="E20" s="147">
        <v>18573857000</v>
      </c>
      <c r="F20" s="147">
        <f>(D20+E20)/2</f>
        <v>19780585000</v>
      </c>
      <c r="G20" s="385">
        <f>146020000+140194000+134231000+133374000</f>
        <v>553819000</v>
      </c>
      <c r="H20" s="19">
        <f>+F20/G20</f>
        <v>35.716696249135545</v>
      </c>
      <c r="I20" s="46">
        <f>+C20*H20</f>
        <v>0.84505703325454706</v>
      </c>
      <c r="J20" s="47">
        <f>1/(1+C20)^H20</f>
        <v>0.43378123067854174</v>
      </c>
      <c r="K20" s="148">
        <f>(G20*I20)/(1-J20)</f>
        <v>826550913.63511205</v>
      </c>
      <c r="L20" s="149">
        <f>+K20/G20</f>
        <v>1.4924567659020584</v>
      </c>
    </row>
    <row r="21" spans="1:12" ht="22.5" customHeight="1">
      <c r="A21" s="66" t="str">
        <f>+'S&amp;D'!A23</f>
        <v>Black Hills Corporation</v>
      </c>
      <c r="B21" s="93" t="str">
        <f>+'S&amp;D'!B23</f>
        <v>BKH</v>
      </c>
      <c r="C21" s="69">
        <f>+'Growth &amp; Inflation Rates'!$D$93</f>
        <v>2.366E-2</v>
      </c>
      <c r="D21" s="317">
        <v>8374790000</v>
      </c>
      <c r="E21" s="147">
        <v>7856573000</v>
      </c>
      <c r="F21" s="147">
        <f t="shared" ref="F21:F30" si="0">(D21+E21)/2</f>
        <v>8115681500</v>
      </c>
      <c r="G21" s="147">
        <v>250909000</v>
      </c>
      <c r="H21" s="19">
        <f>+F21/G21</f>
        <v>32.345119146782302</v>
      </c>
      <c r="I21" s="46">
        <f t="shared" ref="I21:I30" si="1">+C21*H21</f>
        <v>0.76528551901286934</v>
      </c>
      <c r="J21" s="47">
        <f t="shared" ref="J21:J30" si="2">1/(1+C21)^H21</f>
        <v>0.46936596506649947</v>
      </c>
      <c r="K21" s="148">
        <f t="shared" ref="K21:K30" si="3">(G21*I21)/(1-J21)</f>
        <v>361863377.86279339</v>
      </c>
      <c r="L21" s="149">
        <f t="shared" ref="L21:L30" si="4">+K21/G21</f>
        <v>1.4422096372102771</v>
      </c>
    </row>
    <row r="22" spans="1:12" ht="22.5" customHeight="1">
      <c r="A22" s="66" t="str">
        <f>+'S&amp;D'!A24</f>
        <v>CenterPoint Energy Inc.</v>
      </c>
      <c r="B22" s="93" t="str">
        <f>+'S&amp;D'!B24</f>
        <v>CNP</v>
      </c>
      <c r="C22" s="69">
        <f>+'Growth &amp; Inflation Rates'!$D$93</f>
        <v>2.366E-2</v>
      </c>
      <c r="D22" s="317">
        <v>37728000000</v>
      </c>
      <c r="E22" s="147">
        <v>33673000000</v>
      </c>
      <c r="F22" s="147">
        <f t="shared" si="0"/>
        <v>35700500000</v>
      </c>
      <c r="G22" s="147">
        <v>1288000000</v>
      </c>
      <c r="H22" s="19">
        <f>+F22/G22</f>
        <v>27.717779503105589</v>
      </c>
      <c r="I22" s="46">
        <f t="shared" si="1"/>
        <v>0.65580266304347823</v>
      </c>
      <c r="J22" s="47">
        <f t="shared" si="2"/>
        <v>0.52300473669787517</v>
      </c>
      <c r="K22" s="148">
        <f t="shared" si="3"/>
        <v>1770822259.6436784</v>
      </c>
      <c r="L22" s="149">
        <f t="shared" si="4"/>
        <v>1.3748620028289429</v>
      </c>
    </row>
    <row r="23" spans="1:12" ht="22.5" customHeight="1">
      <c r="A23" s="66" t="str">
        <f>+'S&amp;D'!A25</f>
        <v>CMS Energy Corporation</v>
      </c>
      <c r="B23" s="93" t="str">
        <f>+'S&amp;D'!B25</f>
        <v>CMS</v>
      </c>
      <c r="C23" s="69">
        <f>+'Growth &amp; Inflation Rates'!$D$93</f>
        <v>2.366E-2</v>
      </c>
      <c r="D23" s="317">
        <f>30491000000+1182000000</f>
        <v>31673000000</v>
      </c>
      <c r="E23" s="147">
        <f>29893000000+961000000</f>
        <v>30854000000</v>
      </c>
      <c r="F23" s="147">
        <f t="shared" si="0"/>
        <v>31263500000</v>
      </c>
      <c r="G23" s="147">
        <v>1126000000</v>
      </c>
      <c r="H23" s="19">
        <f t="shared" ref="H23:H30" si="5">+F23/G23</f>
        <v>27.765097690941385</v>
      </c>
      <c r="I23" s="46">
        <f t="shared" si="1"/>
        <v>0.65692221136767315</v>
      </c>
      <c r="J23" s="47">
        <f t="shared" si="2"/>
        <v>0.52242634713001879</v>
      </c>
      <c r="K23" s="148">
        <f t="shared" si="3"/>
        <v>1548859334.167207</v>
      </c>
      <c r="L23" s="149">
        <f t="shared" si="4"/>
        <v>1.3755411493492069</v>
      </c>
    </row>
    <row r="24" spans="1:12" ht="22.5" customHeight="1">
      <c r="A24" s="66" t="str">
        <f>+'S&amp;D'!A26</f>
        <v>New Jersey Resources Corp</v>
      </c>
      <c r="B24" s="93" t="str">
        <f>+'S&amp;D'!B26</f>
        <v>NJR</v>
      </c>
      <c r="C24" s="69">
        <f>+'Growth &amp; Inflation Rates'!$D$93</f>
        <v>2.366E-2</v>
      </c>
      <c r="D24" s="317">
        <v>5642574000</v>
      </c>
      <c r="E24" s="147">
        <v>5145231000</v>
      </c>
      <c r="F24" s="147">
        <f t="shared" si="0"/>
        <v>5393902500</v>
      </c>
      <c r="G24" s="147">
        <v>135539000</v>
      </c>
      <c r="H24" s="19">
        <f t="shared" si="5"/>
        <v>39.795944340743254</v>
      </c>
      <c r="I24" s="46">
        <f t="shared" si="1"/>
        <v>0.94157204310198539</v>
      </c>
      <c r="J24" s="47">
        <f t="shared" si="2"/>
        <v>0.39431472980789017</v>
      </c>
      <c r="K24" s="148">
        <f t="shared" si="3"/>
        <v>210703048.97710633</v>
      </c>
      <c r="L24" s="149">
        <f t="shared" si="4"/>
        <v>1.5545566145323952</v>
      </c>
    </row>
    <row r="25" spans="1:12" ht="22.5" customHeight="1">
      <c r="A25" s="66" t="str">
        <f>+'S&amp;D'!A27</f>
        <v>NISOURCE Inc.</v>
      </c>
      <c r="B25" s="93" t="str">
        <f>+'S&amp;D'!B27</f>
        <v>NI</v>
      </c>
      <c r="C25" s="69">
        <f>+'Growth &amp; Inflation Rates'!$D$93</f>
        <v>2.366E-2</v>
      </c>
      <c r="D25" s="317">
        <v>27551300000</v>
      </c>
      <c r="E25" s="147">
        <v>27171300000</v>
      </c>
      <c r="F25" s="147">
        <f t="shared" si="0"/>
        <v>27361300000</v>
      </c>
      <c r="G25" s="147">
        <v>820800000</v>
      </c>
      <c r="H25" s="19">
        <f t="shared" si="5"/>
        <v>33.334917153996102</v>
      </c>
      <c r="I25" s="46">
        <f t="shared" si="1"/>
        <v>0.78870413986354782</v>
      </c>
      <c r="J25" s="47">
        <f t="shared" si="2"/>
        <v>0.4586268429680237</v>
      </c>
      <c r="K25" s="148">
        <f t="shared" si="3"/>
        <v>1195789539.2322953</v>
      </c>
      <c r="L25" s="149">
        <f t="shared" si="4"/>
        <v>1.4568586004292097</v>
      </c>
    </row>
    <row r="26" spans="1:12" ht="22.5" customHeight="1">
      <c r="A26" s="66" t="str">
        <f>+'S&amp;D'!A28</f>
        <v xml:space="preserve">Northwest Natural Holding Company </v>
      </c>
      <c r="B26" s="93" t="str">
        <f>+'S&amp;D'!B28</f>
        <v>NWN</v>
      </c>
      <c r="C26" s="69">
        <f>+'Growth &amp; Inflation Rates'!$D$93</f>
        <v>2.366E-2</v>
      </c>
      <c r="D26" s="317">
        <v>4261566000</v>
      </c>
      <c r="E26" s="147">
        <v>3997243000</v>
      </c>
      <c r="F26" s="147">
        <f t="shared" si="0"/>
        <v>4129404500</v>
      </c>
      <c r="G26" s="147">
        <v>116707000</v>
      </c>
      <c r="H26" s="19">
        <f t="shared" si="5"/>
        <v>35.382663422074081</v>
      </c>
      <c r="I26" s="46">
        <f t="shared" si="1"/>
        <v>0.83715381656627275</v>
      </c>
      <c r="J26" s="47">
        <f t="shared" si="2"/>
        <v>0.43718283788089324</v>
      </c>
      <c r="K26" s="148">
        <f t="shared" si="3"/>
        <v>173594049.8014234</v>
      </c>
      <c r="L26" s="149">
        <f t="shared" si="4"/>
        <v>1.4874347708485645</v>
      </c>
    </row>
    <row r="27" spans="1:12" ht="22.5" customHeight="1">
      <c r="A27" s="66" t="str">
        <f>+'S&amp;D'!A29</f>
        <v>One Gas INC</v>
      </c>
      <c r="B27" s="93" t="str">
        <f>+'S&amp;D'!B29</f>
        <v>OGS</v>
      </c>
      <c r="C27" s="69">
        <f>+'Growth &amp; Inflation Rates'!$D$93</f>
        <v>2.366E-2</v>
      </c>
      <c r="D27" s="317">
        <v>7834557000</v>
      </c>
      <c r="E27" s="147">
        <v>7274268000</v>
      </c>
      <c r="F27" s="147">
        <f t="shared" si="0"/>
        <v>7554412500</v>
      </c>
      <c r="G27" s="147">
        <v>228479000</v>
      </c>
      <c r="H27" s="19">
        <f t="shared" si="5"/>
        <v>33.063924912136343</v>
      </c>
      <c r="I27" s="46">
        <f t="shared" si="1"/>
        <v>0.78229246342114589</v>
      </c>
      <c r="J27" s="47">
        <f t="shared" si="2"/>
        <v>0.46154239029331812</v>
      </c>
      <c r="K27" s="148">
        <f t="shared" si="3"/>
        <v>331943307.19434905</v>
      </c>
      <c r="L27" s="149">
        <f t="shared" si="4"/>
        <v>1.4528394609322917</v>
      </c>
    </row>
    <row r="28" spans="1:12" ht="22.5" customHeight="1">
      <c r="A28" s="66" t="str">
        <f>+'S&amp;D'!A30</f>
        <v>Southwest Gas Holdings, Inc</v>
      </c>
      <c r="B28" s="93" t="str">
        <f>+'S&amp;D'!B30</f>
        <v>SWX</v>
      </c>
      <c r="C28" s="69">
        <f>+'Growth &amp; Inflation Rates'!$D$93</f>
        <v>2.366E-2</v>
      </c>
      <c r="D28" s="317">
        <f>9453907000+244750000</f>
        <v>9698657000</v>
      </c>
      <c r="E28" s="147">
        <f>8901575000+183485000</f>
        <v>9085060000</v>
      </c>
      <c r="F28" s="147">
        <f>(D28+E28)/2</f>
        <v>9391858500</v>
      </c>
      <c r="G28" s="147">
        <v>470455000</v>
      </c>
      <c r="H28" s="19">
        <f>+F28/G28</f>
        <v>19.963351436375422</v>
      </c>
      <c r="I28" s="46">
        <f>+C28*H28</f>
        <v>0.47233289498464248</v>
      </c>
      <c r="J28" s="47">
        <f>1/(1+C28)^H28</f>
        <v>0.62698554144650909</v>
      </c>
      <c r="K28" s="148">
        <f>(G28*I28)/(1-J28)</f>
        <v>595717852.25621355</v>
      </c>
      <c r="L28" s="149">
        <f t="shared" si="4"/>
        <v>1.2662589456084292</v>
      </c>
    </row>
    <row r="29" spans="1:12" ht="22.5" customHeight="1">
      <c r="A29" s="66" t="str">
        <f>+'S&amp;D'!A31</f>
        <v>Spire Inc / Laclede Group Inc</v>
      </c>
      <c r="B29" s="93" t="str">
        <f>+'S&amp;D'!B31</f>
        <v>SR</v>
      </c>
      <c r="C29" s="69">
        <f>+'Growth &amp; Inflation Rates'!$D$93</f>
        <v>2.366E-2</v>
      </c>
      <c r="D29" s="317">
        <v>7769400000</v>
      </c>
      <c r="E29" s="147">
        <v>7329200000</v>
      </c>
      <c r="F29" s="147">
        <f t="shared" si="0"/>
        <v>7549300000</v>
      </c>
      <c r="G29" s="147">
        <v>240000000</v>
      </c>
      <c r="H29" s="19">
        <f t="shared" si="5"/>
        <v>31.455416666666668</v>
      </c>
      <c r="I29" s="46">
        <f t="shared" si="1"/>
        <v>0.74423515833333342</v>
      </c>
      <c r="J29" s="47">
        <f t="shared" si="2"/>
        <v>0.47923350738335252</v>
      </c>
      <c r="K29" s="148">
        <f t="shared" si="3"/>
        <v>342987577.98821199</v>
      </c>
      <c r="L29" s="149">
        <f t="shared" si="4"/>
        <v>1.4291149082842167</v>
      </c>
    </row>
    <row r="30" spans="1:12" ht="22.5" customHeight="1">
      <c r="A30" s="66" t="str">
        <f>+'S&amp;D'!A32</f>
        <v>WEC Energy Group</v>
      </c>
      <c r="B30" s="93" t="str">
        <f>+'S&amp;D'!B32</f>
        <v>WEC</v>
      </c>
      <c r="C30" s="69">
        <f>+'Growth &amp; Inflation Rates'!$D$93</f>
        <v>2.366E-2</v>
      </c>
      <c r="D30" s="317">
        <v>38612000000</v>
      </c>
      <c r="E30" s="147">
        <v>36872000000</v>
      </c>
      <c r="F30" s="147">
        <f t="shared" si="0"/>
        <v>37742000000</v>
      </c>
      <c r="G30" s="147">
        <v>1122600000</v>
      </c>
      <c r="H30" s="19">
        <f t="shared" si="5"/>
        <v>33.620167468376984</v>
      </c>
      <c r="I30" s="46">
        <f t="shared" si="1"/>
        <v>0.79545316230179941</v>
      </c>
      <c r="J30" s="47">
        <f t="shared" si="2"/>
        <v>0.4555777903285112</v>
      </c>
      <c r="K30" s="148">
        <f t="shared" si="3"/>
        <v>1640226471.5446358</v>
      </c>
      <c r="L30" s="149">
        <f t="shared" si="4"/>
        <v>1.4610960908111845</v>
      </c>
    </row>
    <row r="31" spans="1:12" ht="22.5" customHeight="1" thickBot="1">
      <c r="A31" s="13"/>
      <c r="B31" s="13"/>
      <c r="D31" s="48"/>
      <c r="E31" s="48"/>
      <c r="F31" s="48"/>
      <c r="G31" s="48" t="s">
        <v>55</v>
      </c>
      <c r="H31" s="48"/>
      <c r="I31" s="48" t="s">
        <v>55</v>
      </c>
      <c r="J31" s="48"/>
      <c r="K31" s="48"/>
      <c r="L31" s="48"/>
    </row>
    <row r="32" spans="1:12" ht="22.5" customHeight="1" thickTop="1">
      <c r="A32" s="13"/>
      <c r="B32" s="13"/>
      <c r="D32" s="49" t="s">
        <v>0</v>
      </c>
      <c r="E32" s="388"/>
      <c r="F32" s="15"/>
      <c r="G32" s="49" t="s">
        <v>0</v>
      </c>
      <c r="H32" s="36"/>
      <c r="I32" s="49" t="s">
        <v>0</v>
      </c>
      <c r="J32" s="49" t="s">
        <v>0</v>
      </c>
      <c r="K32" s="15" t="s">
        <v>56</v>
      </c>
      <c r="L32" s="311">
        <v>1.5546</v>
      </c>
    </row>
    <row r="33" spans="1:12" ht="22.5" customHeight="1">
      <c r="B33" s="13"/>
      <c r="D33" s="36" t="s">
        <v>0</v>
      </c>
      <c r="E33" s="388"/>
      <c r="F33" s="15"/>
      <c r="G33" s="49"/>
      <c r="H33" s="36"/>
      <c r="I33" s="49"/>
      <c r="J33" s="49"/>
      <c r="K33" s="15" t="s">
        <v>57</v>
      </c>
      <c r="L33" s="312">
        <v>1.3749</v>
      </c>
    </row>
    <row r="34" spans="1:12" ht="22.5" customHeight="1">
      <c r="B34" s="13"/>
      <c r="C34" s="13"/>
      <c r="D34" s="319" t="s">
        <v>0</v>
      </c>
      <c r="E34" s="386"/>
      <c r="F34" s="13"/>
      <c r="G34" s="13" t="s">
        <v>0</v>
      </c>
      <c r="H34" s="13"/>
      <c r="I34" s="13"/>
      <c r="J34" s="13"/>
      <c r="K34" s="15" t="s">
        <v>18</v>
      </c>
      <c r="L34" s="57">
        <f>MEDIAN(L20:L30)</f>
        <v>1.4528394609322917</v>
      </c>
    </row>
    <row r="35" spans="1:12" ht="22.5" customHeight="1">
      <c r="A35" s="13"/>
      <c r="B35" s="13"/>
      <c r="C35" s="13"/>
      <c r="D35" s="13" t="s">
        <v>0</v>
      </c>
      <c r="E35" s="386"/>
      <c r="F35" s="13"/>
      <c r="G35" s="13" t="s">
        <v>0</v>
      </c>
      <c r="H35" s="13" t="s">
        <v>0</v>
      </c>
      <c r="I35" s="13"/>
      <c r="J35" s="13"/>
      <c r="K35" s="15" t="s">
        <v>474</v>
      </c>
      <c r="L35" s="57">
        <f>AVERAGE(L20:L30)</f>
        <v>1.4357480860669796</v>
      </c>
    </row>
    <row r="36" spans="1:12" ht="22.5" customHeight="1" thickBot="1">
      <c r="A36" s="13"/>
      <c r="B36" s="13"/>
      <c r="C36" s="13"/>
      <c r="D36" s="13"/>
      <c r="E36" s="387"/>
      <c r="F36" s="13"/>
      <c r="G36" s="13" t="s">
        <v>0</v>
      </c>
      <c r="H36" s="13"/>
      <c r="I36" s="13"/>
      <c r="J36" s="13"/>
      <c r="K36" s="13"/>
      <c r="L36" s="13"/>
    </row>
    <row r="37" spans="1:12" ht="22.5" customHeight="1" thickBot="1">
      <c r="A37" s="13"/>
      <c r="B37" s="13"/>
      <c r="C37" s="13"/>
      <c r="D37" s="13"/>
      <c r="E37" s="386"/>
      <c r="F37" s="13"/>
      <c r="G37" s="13"/>
      <c r="H37" s="13"/>
      <c r="I37" s="13"/>
      <c r="J37" s="13"/>
      <c r="K37" s="217" t="s">
        <v>235</v>
      </c>
      <c r="L37" s="442">
        <v>1.4357</v>
      </c>
    </row>
    <row r="38" spans="1:12" ht="16.5">
      <c r="A38" s="13"/>
      <c r="B38" s="13"/>
      <c r="C38" s="13"/>
      <c r="D38" s="13"/>
      <c r="E38" s="386"/>
      <c r="F38" s="13"/>
      <c r="G38" s="13" t="s">
        <v>0</v>
      </c>
      <c r="H38" s="13"/>
      <c r="I38" s="13"/>
      <c r="J38" s="13"/>
      <c r="K38" s="13"/>
      <c r="L38" s="13"/>
    </row>
    <row r="39" spans="1:12" ht="16.5">
      <c r="A39" s="13"/>
      <c r="B39" s="13"/>
      <c r="C39" s="13"/>
      <c r="D39" s="13"/>
      <c r="E39" s="386"/>
      <c r="F39" s="13"/>
      <c r="G39" s="13" t="s">
        <v>0</v>
      </c>
      <c r="H39" s="13"/>
      <c r="I39" s="13"/>
      <c r="J39" s="13"/>
      <c r="K39" s="13"/>
      <c r="L39" s="13"/>
    </row>
    <row r="40" spans="1:12" ht="20.25">
      <c r="A40" s="32" t="s">
        <v>91</v>
      </c>
      <c r="B40" s="13"/>
      <c r="C40" s="13"/>
      <c r="D40" s="13"/>
      <c r="E40" s="13"/>
      <c r="F40" s="13"/>
      <c r="G40" s="13"/>
      <c r="H40" s="13"/>
      <c r="I40" s="13"/>
      <c r="J40" s="13"/>
      <c r="K40" s="13"/>
      <c r="L40" s="13"/>
    </row>
    <row r="41" spans="1:12" ht="16.5">
      <c r="A41" s="13" t="s">
        <v>297</v>
      </c>
    </row>
    <row r="42" spans="1:12" ht="16.5">
      <c r="A42" s="13"/>
    </row>
    <row r="43" spans="1:12" ht="16.5">
      <c r="A43" s="13" t="s">
        <v>407</v>
      </c>
    </row>
    <row r="44" spans="1:12" ht="20.25">
      <c r="A44" s="252"/>
      <c r="B44" s="252"/>
      <c r="C44" s="252"/>
      <c r="D44" s="252"/>
      <c r="E44" s="252"/>
      <c r="F44" s="252"/>
      <c r="G44" s="252"/>
      <c r="H44" s="252"/>
      <c r="I44" s="252"/>
      <c r="J44" s="252"/>
      <c r="K44" s="252"/>
      <c r="L44" s="252"/>
    </row>
    <row r="45" spans="1:12" ht="26.25">
      <c r="A45" s="25" t="s">
        <v>1</v>
      </c>
      <c r="B45" s="13"/>
      <c r="C45" s="13"/>
      <c r="D45" s="13"/>
      <c r="E45" s="13"/>
      <c r="F45" s="13"/>
      <c r="G45" s="13"/>
      <c r="H45" s="13"/>
      <c r="I45" s="13"/>
      <c r="J45" s="13"/>
      <c r="K45" s="252"/>
      <c r="L45" s="252"/>
    </row>
    <row r="46" spans="1:12" ht="20.25">
      <c r="A46" s="26" t="s">
        <v>9</v>
      </c>
      <c r="B46" s="13"/>
      <c r="C46" s="13"/>
      <c r="D46" s="13"/>
      <c r="E46" s="13"/>
      <c r="F46" s="13"/>
      <c r="G46" s="13"/>
      <c r="H46" s="13"/>
      <c r="I46" s="13"/>
      <c r="J46" s="13"/>
      <c r="K46" s="252"/>
      <c r="L46" s="252"/>
    </row>
    <row r="47" spans="1:12" ht="20.25">
      <c r="A47" s="27" t="s">
        <v>81</v>
      </c>
      <c r="B47" s="13"/>
      <c r="C47" s="13"/>
      <c r="D47" s="13"/>
      <c r="E47" s="13"/>
      <c r="F47" s="13"/>
      <c r="G47" s="13"/>
      <c r="H47" s="13"/>
      <c r="I47" s="13"/>
      <c r="J47" s="13"/>
      <c r="K47" s="252"/>
      <c r="L47" s="252"/>
    </row>
    <row r="48" spans="1:12" ht="20.25">
      <c r="A48" s="27"/>
      <c r="B48" s="13"/>
      <c r="C48" s="13"/>
      <c r="D48" s="13"/>
      <c r="E48" s="13"/>
      <c r="F48" s="13"/>
      <c r="G48" s="13"/>
      <c r="H48" s="13"/>
      <c r="I48" s="13"/>
      <c r="J48" s="13"/>
      <c r="K48" s="252"/>
      <c r="L48" s="252"/>
    </row>
    <row r="49" spans="1:12" ht="20.25">
      <c r="A49" s="27"/>
      <c r="B49" s="13"/>
      <c r="C49" s="13"/>
      <c r="D49" s="13"/>
      <c r="E49" s="13"/>
      <c r="F49" s="13"/>
      <c r="G49" s="13"/>
      <c r="H49" s="13"/>
      <c r="I49" s="13"/>
      <c r="J49" s="13"/>
      <c r="K49" s="252"/>
      <c r="L49" s="252"/>
    </row>
    <row r="50" spans="1:12" ht="20.25">
      <c r="A50" s="27"/>
      <c r="B50" s="13"/>
      <c r="C50" s="13"/>
      <c r="D50" s="13"/>
      <c r="E50" s="13"/>
      <c r="F50" s="13"/>
      <c r="G50" s="13"/>
      <c r="H50" s="13"/>
      <c r="I50" s="13"/>
      <c r="J50" s="13"/>
      <c r="K50" s="252"/>
      <c r="L50" s="252"/>
    </row>
    <row r="51" spans="1:12" ht="21" thickBot="1">
      <c r="B51" s="13"/>
      <c r="C51" s="13"/>
      <c r="D51" s="13"/>
      <c r="E51" s="13"/>
      <c r="F51" s="30"/>
      <c r="G51" s="30"/>
      <c r="H51" s="31" t="s">
        <v>0</v>
      </c>
      <c r="I51" s="13"/>
      <c r="J51" s="13"/>
      <c r="K51" s="252"/>
      <c r="L51" s="252"/>
    </row>
    <row r="52" spans="1:12" ht="26.25">
      <c r="B52" s="13"/>
      <c r="C52" s="13"/>
      <c r="D52" s="13"/>
      <c r="E52" s="13"/>
      <c r="F52" s="13"/>
      <c r="G52" s="33" t="s">
        <v>323</v>
      </c>
      <c r="H52" s="13"/>
      <c r="I52" s="13"/>
      <c r="J52" s="13"/>
      <c r="K52" s="252"/>
      <c r="L52" s="252"/>
    </row>
    <row r="53" spans="1:12" ht="21" thickBot="1">
      <c r="B53" s="42" t="s">
        <v>0</v>
      </c>
      <c r="C53" s="42" t="s">
        <v>0</v>
      </c>
      <c r="D53" s="13"/>
      <c r="E53" s="13"/>
      <c r="F53" s="35" t="s">
        <v>0</v>
      </c>
      <c r="G53" s="38" t="s">
        <v>95</v>
      </c>
      <c r="H53" s="35" t="s">
        <v>0</v>
      </c>
      <c r="I53" s="42" t="s">
        <v>0</v>
      </c>
      <c r="J53" s="13"/>
      <c r="K53" s="252"/>
      <c r="L53" s="252"/>
    </row>
    <row r="54" spans="1:12" ht="20.25">
      <c r="A54" s="252"/>
      <c r="B54" s="252"/>
      <c r="C54" s="252"/>
      <c r="D54" s="252"/>
      <c r="E54" s="252"/>
      <c r="F54" s="252"/>
      <c r="G54" s="252"/>
      <c r="H54" s="252"/>
      <c r="I54" s="252"/>
      <c r="J54" s="252"/>
      <c r="K54" s="252"/>
      <c r="L54" s="252"/>
    </row>
    <row r="55" spans="1:12" ht="20.25">
      <c r="A55" s="252"/>
      <c r="B55" s="252"/>
      <c r="C55" s="252"/>
      <c r="D55" s="252"/>
      <c r="E55" s="252"/>
      <c r="F55" s="252"/>
      <c r="G55" s="252"/>
      <c r="H55" s="252"/>
      <c r="I55" s="252"/>
      <c r="J55" s="252"/>
      <c r="K55" s="252"/>
      <c r="L55" s="252"/>
    </row>
    <row r="56" spans="1:12" ht="20.25">
      <c r="A56" s="252"/>
      <c r="B56" s="252"/>
      <c r="C56" s="252"/>
      <c r="D56" s="252"/>
      <c r="E56" s="252"/>
      <c r="F56" s="252"/>
      <c r="G56" s="252"/>
      <c r="H56" s="252"/>
      <c r="I56" s="252"/>
      <c r="J56" s="252"/>
      <c r="K56" s="252"/>
      <c r="L56" s="252"/>
    </row>
    <row r="57" spans="1:12" ht="16.5">
      <c r="A57" s="42"/>
      <c r="B57" s="42"/>
      <c r="C57" s="42"/>
      <c r="D57" s="13"/>
      <c r="E57" s="13"/>
      <c r="J57" s="13"/>
      <c r="K57" s="13"/>
      <c r="L57" s="13"/>
    </row>
    <row r="58" spans="1:12" ht="31.5">
      <c r="A58" s="246" t="s">
        <v>312</v>
      </c>
      <c r="B58" s="42"/>
      <c r="C58" s="248" t="s">
        <v>317</v>
      </c>
      <c r="D58" s="13"/>
      <c r="E58" s="13"/>
      <c r="J58" s="13"/>
      <c r="K58" s="13"/>
      <c r="L58" s="13"/>
    </row>
    <row r="59" spans="1:12" ht="31.5">
      <c r="A59" s="246" t="s">
        <v>316</v>
      </c>
      <c r="B59" s="42"/>
      <c r="C59" s="248" t="s">
        <v>322</v>
      </c>
      <c r="D59" s="13"/>
      <c r="E59" s="13"/>
      <c r="J59" s="13"/>
      <c r="K59" s="13"/>
      <c r="L59" s="13"/>
    </row>
    <row r="60" spans="1:12" ht="18.75" customHeight="1">
      <c r="A60" s="246"/>
      <c r="B60" s="42"/>
      <c r="C60" s="248"/>
      <c r="D60" s="13"/>
      <c r="E60" s="13"/>
      <c r="J60" s="13"/>
      <c r="K60" s="13"/>
      <c r="L60" s="13"/>
    </row>
    <row r="61" spans="1:12" ht="17.25">
      <c r="A61" s="247" t="s">
        <v>313</v>
      </c>
      <c r="B61" s="42"/>
      <c r="C61" s="42"/>
      <c r="D61" s="13"/>
      <c r="E61" s="13"/>
      <c r="J61" s="13"/>
      <c r="K61" s="13"/>
      <c r="L61" s="13"/>
    </row>
    <row r="62" spans="1:12" ht="17.25">
      <c r="A62" s="247" t="s">
        <v>314</v>
      </c>
      <c r="B62" s="42"/>
      <c r="C62" s="42"/>
      <c r="D62" s="13"/>
      <c r="E62" s="13"/>
      <c r="J62" s="13"/>
      <c r="K62" s="13"/>
      <c r="L62" s="13"/>
    </row>
    <row r="63" spans="1:12" ht="17.25">
      <c r="A63" s="247" t="s">
        <v>315</v>
      </c>
      <c r="B63" s="42"/>
      <c r="C63" s="42"/>
      <c r="D63" s="13"/>
      <c r="E63" s="13"/>
      <c r="J63" s="13"/>
      <c r="K63" s="13"/>
      <c r="L63" s="13"/>
    </row>
    <row r="69" spans="1:9" ht="31.5">
      <c r="A69" s="249" t="s">
        <v>321</v>
      </c>
      <c r="B69" s="114"/>
      <c r="C69" s="114"/>
      <c r="D69" s="114"/>
      <c r="E69" s="114"/>
      <c r="F69" s="114"/>
      <c r="G69" s="13"/>
      <c r="H69" s="13"/>
      <c r="I69" s="13"/>
    </row>
    <row r="70" spans="1:9" ht="17.25">
      <c r="A70" s="114"/>
      <c r="B70" s="114"/>
      <c r="C70" s="114"/>
      <c r="D70" s="114"/>
      <c r="E70" s="114"/>
      <c r="F70" s="114"/>
      <c r="G70" s="13"/>
      <c r="H70" s="13"/>
      <c r="I70" s="13"/>
    </row>
    <row r="71" spans="1:9" ht="18" thickBot="1">
      <c r="A71" s="250" t="s">
        <v>318</v>
      </c>
      <c r="B71" s="116"/>
      <c r="C71" s="116"/>
      <c r="D71" s="251" t="s">
        <v>320</v>
      </c>
      <c r="E71" s="116"/>
      <c r="F71" s="114"/>
      <c r="G71" s="13"/>
      <c r="H71" s="13"/>
      <c r="I71" s="13"/>
    </row>
    <row r="72" spans="1:9" ht="17.25">
      <c r="A72" s="114"/>
      <c r="B72" s="114"/>
      <c r="C72" s="114"/>
      <c r="D72" s="114" t="s">
        <v>319</v>
      </c>
      <c r="E72" s="114"/>
      <c r="F72" s="114"/>
      <c r="G72" s="13"/>
      <c r="H72" s="13"/>
      <c r="I72" s="13"/>
    </row>
    <row r="73" spans="1:9" ht="17.25">
      <c r="A73" s="114"/>
      <c r="B73" s="114"/>
      <c r="C73" s="114"/>
      <c r="D73" s="114"/>
      <c r="E73" s="114"/>
      <c r="F73" s="114"/>
      <c r="G73" s="13"/>
      <c r="H73" s="13"/>
      <c r="I73" s="13"/>
    </row>
    <row r="74" spans="1:9" ht="16.5">
      <c r="A74" s="13"/>
      <c r="B74" s="13"/>
      <c r="C74" s="13"/>
      <c r="D74" s="13"/>
      <c r="E74" s="13"/>
      <c r="F74" s="13"/>
      <c r="G74" s="13"/>
      <c r="H74" s="13"/>
      <c r="I74" s="13"/>
    </row>
    <row r="75" spans="1:9" ht="16.5">
      <c r="A75" s="13"/>
      <c r="B75" s="13"/>
      <c r="C75" s="13"/>
      <c r="D75" s="13"/>
      <c r="E75" s="13"/>
      <c r="F75" s="13"/>
      <c r="G75" s="13"/>
      <c r="H75" s="13"/>
      <c r="I75" s="13"/>
    </row>
    <row r="76" spans="1:9" ht="16.5">
      <c r="A76" s="13"/>
      <c r="B76" s="13"/>
      <c r="C76" s="13"/>
      <c r="D76" s="13"/>
      <c r="E76" s="13"/>
      <c r="F76" s="13"/>
      <c r="G76" s="13"/>
      <c r="H76" s="13"/>
      <c r="I76" s="13"/>
    </row>
    <row r="77" spans="1:9" ht="16.5">
      <c r="A77" s="13"/>
      <c r="B77" s="13"/>
      <c r="C77" s="13"/>
      <c r="D77" s="13"/>
      <c r="E77" s="13"/>
      <c r="F77" s="13"/>
      <c r="G77" s="13"/>
      <c r="H77" s="13"/>
      <c r="I77" s="13"/>
    </row>
    <row r="78" spans="1:9" ht="16.5">
      <c r="A78" s="13"/>
      <c r="B78" s="13"/>
      <c r="C78" s="13"/>
      <c r="D78" s="13"/>
      <c r="E78" s="13"/>
      <c r="F78" s="13"/>
      <c r="G78" s="13"/>
      <c r="H78" s="13"/>
      <c r="I78" s="13"/>
    </row>
    <row r="79" spans="1:9" ht="16.5">
      <c r="A79" s="13" t="s">
        <v>0</v>
      </c>
      <c r="B79" s="13"/>
      <c r="C79" s="13"/>
      <c r="D79" s="13"/>
      <c r="E79" s="13"/>
      <c r="F79" s="13"/>
      <c r="G79" s="13"/>
      <c r="H79" s="13"/>
      <c r="I79" s="13"/>
    </row>
    <row r="80" spans="1:9" ht="16.5">
      <c r="A80" s="13"/>
      <c r="B80" s="13"/>
      <c r="C80" s="13"/>
      <c r="D80" s="13"/>
      <c r="E80" s="13"/>
      <c r="F80" s="13"/>
      <c r="G80" s="13"/>
      <c r="H80" s="13"/>
      <c r="I80" s="13"/>
    </row>
  </sheetData>
  <pageMargins left="0.25" right="0.25" top="0.75" bottom="0.75" header="0.3" footer="0.3"/>
  <pageSetup scale="51" orientation="landscape" r:id="rId1"/>
  <rowBreaks count="1" manualBreakCount="1">
    <brk id="43" max="11"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19DCF-8362-451B-93E3-8D44BC877730}">
  <sheetPr>
    <tabColor rgb="FF92D050"/>
  </sheetPr>
  <dimension ref="A1:J38"/>
  <sheetViews>
    <sheetView view="pageBreakPreview" zoomScale="60" zoomScaleNormal="80" workbookViewId="0">
      <selection activeCell="C33" sqref="C33"/>
    </sheetView>
  </sheetViews>
  <sheetFormatPr defaultRowHeight="15"/>
  <cols>
    <col min="1" max="1" width="45.140625" customWidth="1"/>
    <col min="2" max="2" width="17" customWidth="1"/>
    <col min="3" max="3" width="27.7109375" customWidth="1"/>
    <col min="4" max="4" width="16.85546875" customWidth="1"/>
    <col min="5" max="5" width="23.5703125" customWidth="1"/>
    <col min="6" max="6" width="22.85546875" customWidth="1"/>
    <col min="7" max="7" width="21.28515625" customWidth="1"/>
    <col min="8" max="8" width="19.7109375" customWidth="1"/>
    <col min="9" max="9" width="32.140625" customWidth="1"/>
    <col min="10" max="10" width="14.140625" bestFit="1" customWidth="1"/>
    <col min="12" max="12" width="10.5703125" customWidth="1"/>
  </cols>
  <sheetData>
    <row r="1" spans="1:9" ht="26.25">
      <c r="A1" s="25" t="s">
        <v>1</v>
      </c>
      <c r="B1" s="13"/>
      <c r="C1" s="13"/>
      <c r="D1" s="13"/>
      <c r="E1" s="13"/>
      <c r="F1" s="13"/>
      <c r="G1" s="13"/>
      <c r="H1" s="13"/>
      <c r="I1" s="13"/>
    </row>
    <row r="2" spans="1:9" ht="17.25">
      <c r="A2" s="26" t="s">
        <v>9</v>
      </c>
      <c r="B2" s="13"/>
      <c r="C2" s="13"/>
      <c r="D2" s="13"/>
      <c r="E2" s="13"/>
      <c r="F2" s="13"/>
      <c r="G2" s="13"/>
      <c r="H2" s="13"/>
      <c r="I2" s="13"/>
    </row>
    <row r="3" spans="1:9" ht="16.5">
      <c r="A3" s="27" t="s">
        <v>81</v>
      </c>
      <c r="B3" s="13"/>
      <c r="C3" s="13"/>
      <c r="D3" s="13"/>
      <c r="E3" s="13"/>
      <c r="F3" s="13"/>
      <c r="G3" s="13"/>
      <c r="H3" s="13"/>
      <c r="I3" s="13"/>
    </row>
    <row r="4" spans="1:9" ht="16.5">
      <c r="A4" s="27"/>
      <c r="B4" s="13"/>
      <c r="C4" s="13"/>
      <c r="D4" s="13"/>
      <c r="E4" s="13"/>
      <c r="F4" s="13"/>
      <c r="G4" s="13"/>
      <c r="H4" s="13"/>
      <c r="I4" s="13"/>
    </row>
    <row r="5" spans="1:9" ht="16.5">
      <c r="A5" s="27"/>
      <c r="B5" s="13"/>
      <c r="C5" s="13"/>
      <c r="D5" s="13"/>
      <c r="E5" s="13"/>
      <c r="F5" s="13"/>
      <c r="G5" s="13"/>
      <c r="H5" s="13"/>
      <c r="I5" s="13"/>
    </row>
    <row r="6" spans="1:9" ht="16.5">
      <c r="A6" s="27"/>
      <c r="B6" s="13"/>
      <c r="C6" s="13"/>
      <c r="D6" s="13"/>
      <c r="E6" s="13"/>
      <c r="F6" s="13"/>
      <c r="G6" s="13"/>
      <c r="H6" s="13"/>
      <c r="I6" s="13"/>
    </row>
    <row r="7" spans="1:9" ht="17.25" thickBot="1">
      <c r="A7" s="13"/>
      <c r="B7" s="13"/>
      <c r="C7" s="13"/>
      <c r="H7" s="28"/>
      <c r="I7" s="13"/>
    </row>
    <row r="8" spans="1:9" ht="21" thickBot="1">
      <c r="A8" s="281" t="str">
        <f>+'S&amp;D'!A12</f>
        <v>Natural Gas Utility Distribution</v>
      </c>
      <c r="B8" s="211"/>
      <c r="C8" s="13"/>
      <c r="D8" s="30"/>
      <c r="E8" s="30"/>
      <c r="F8" s="30"/>
      <c r="H8" s="13"/>
      <c r="I8" s="13"/>
    </row>
    <row r="9" spans="1:9" ht="26.25">
      <c r="A9" s="32"/>
      <c r="B9" s="13"/>
      <c r="C9" s="13"/>
      <c r="D9" s="13"/>
      <c r="E9" s="33" t="s">
        <v>144</v>
      </c>
      <c r="F9" s="33"/>
      <c r="H9" s="13"/>
      <c r="I9" s="13"/>
    </row>
    <row r="10" spans="1:9" ht="21" thickBot="1">
      <c r="A10" s="32"/>
      <c r="B10" s="13"/>
      <c r="C10" s="13"/>
      <c r="D10" s="30"/>
      <c r="E10" s="38" t="s">
        <v>95</v>
      </c>
      <c r="F10" s="38"/>
      <c r="H10" s="13"/>
      <c r="I10" s="13"/>
    </row>
    <row r="11" spans="1:9" ht="20.25">
      <c r="A11" s="32"/>
      <c r="B11" s="13"/>
      <c r="I11" s="13"/>
    </row>
    <row r="12" spans="1:9" ht="17.25" thickBot="1">
      <c r="A12" s="35" t="s">
        <v>0</v>
      </c>
      <c r="B12" s="35" t="s">
        <v>0</v>
      </c>
      <c r="C12" s="35" t="s">
        <v>0</v>
      </c>
      <c r="D12" s="35" t="s">
        <v>0</v>
      </c>
      <c r="E12" s="35" t="s">
        <v>0</v>
      </c>
      <c r="F12" s="35"/>
      <c r="G12" s="35"/>
      <c r="H12" s="30"/>
      <c r="I12" s="30"/>
    </row>
    <row r="13" spans="1:9" ht="17.25">
      <c r="A13" s="93" t="s">
        <v>0</v>
      </c>
      <c r="B13" s="93" t="s">
        <v>3</v>
      </c>
      <c r="C13" s="93" t="s">
        <v>5</v>
      </c>
      <c r="D13" s="93" t="s">
        <v>192</v>
      </c>
      <c r="E13" s="195" t="s">
        <v>256</v>
      </c>
      <c r="F13" s="195" t="s">
        <v>366</v>
      </c>
      <c r="G13" s="93" t="s">
        <v>20</v>
      </c>
      <c r="H13" s="93" t="s">
        <v>168</v>
      </c>
      <c r="I13" s="93" t="s">
        <v>168</v>
      </c>
    </row>
    <row r="14" spans="1:9" ht="18" thickBot="1">
      <c r="A14" s="102" t="s">
        <v>2</v>
      </c>
      <c r="B14" s="102" t="s">
        <v>4</v>
      </c>
      <c r="C14" s="102" t="s">
        <v>6</v>
      </c>
      <c r="D14" s="102" t="s">
        <v>23</v>
      </c>
      <c r="E14" s="102" t="s">
        <v>367</v>
      </c>
      <c r="F14" s="102" t="s">
        <v>216</v>
      </c>
      <c r="G14" s="102" t="s">
        <v>22</v>
      </c>
      <c r="H14" s="102" t="s">
        <v>192</v>
      </c>
      <c r="I14" s="102" t="s">
        <v>140</v>
      </c>
    </row>
    <row r="15" spans="1:9">
      <c r="A15" s="40" t="s">
        <v>7</v>
      </c>
      <c r="B15" s="40" t="s">
        <v>7</v>
      </c>
      <c r="C15" s="40" t="s">
        <v>7</v>
      </c>
      <c r="D15" s="40" t="s">
        <v>7</v>
      </c>
      <c r="E15" s="243" t="s">
        <v>302</v>
      </c>
      <c r="F15" s="243" t="s">
        <v>302</v>
      </c>
      <c r="G15" s="40" t="s">
        <v>7</v>
      </c>
      <c r="H15" s="40" t="s">
        <v>7</v>
      </c>
      <c r="I15" s="243" t="s">
        <v>302</v>
      </c>
    </row>
    <row r="16" spans="1:9" ht="16.5">
      <c r="A16" s="36"/>
      <c r="B16" s="36"/>
      <c r="C16" s="36"/>
      <c r="D16" s="36"/>
      <c r="G16" s="36"/>
      <c r="H16" s="36"/>
      <c r="I16" s="36"/>
    </row>
    <row r="17" spans="1:10" ht="16.5">
      <c r="A17" s="13"/>
      <c r="B17" s="13"/>
      <c r="C17" s="13"/>
      <c r="D17" s="13"/>
      <c r="G17" s="13"/>
      <c r="H17" s="13"/>
      <c r="I17" s="13"/>
    </row>
    <row r="18" spans="1:10" ht="20.25" customHeight="1">
      <c r="A18" s="66" t="str">
        <f>+'S&amp;D'!A22</f>
        <v>Atmos Energy Corp</v>
      </c>
      <c r="B18" s="93" t="str">
        <f>+'S&amp;D'!B22</f>
        <v>ATO</v>
      </c>
      <c r="C18" s="93" t="str">
        <f>+'S&amp;D'!C22</f>
        <v>Gas Utility</v>
      </c>
      <c r="D18" s="390">
        <v>9.0999999999999998E-2</v>
      </c>
      <c r="E18" s="151">
        <v>8.5000000000000006E-2</v>
      </c>
      <c r="F18" s="151">
        <v>4.4999999999999998E-2</v>
      </c>
      <c r="G18" s="93" t="s">
        <v>54</v>
      </c>
      <c r="H18" s="410">
        <v>0.8</v>
      </c>
      <c r="I18" s="410">
        <v>0.85</v>
      </c>
    </row>
    <row r="19" spans="1:10" ht="20.25" customHeight="1">
      <c r="A19" s="66" t="str">
        <f>+'S&amp;D'!A23</f>
        <v>Black Hills Corporation</v>
      </c>
      <c r="B19" s="93" t="str">
        <f>+'S&amp;D'!B23</f>
        <v>BKH</v>
      </c>
      <c r="C19" s="93" t="str">
        <f>+'S&amp;D'!C23</f>
        <v>Electric Utility - West</v>
      </c>
      <c r="D19" s="152">
        <v>2.8000000000000001E-2</v>
      </c>
      <c r="E19" s="151">
        <v>0.08</v>
      </c>
      <c r="F19" s="151">
        <v>0.03</v>
      </c>
      <c r="G19" s="93" t="s">
        <v>24</v>
      </c>
      <c r="H19" s="410">
        <v>1</v>
      </c>
      <c r="I19" s="410">
        <v>0.95</v>
      </c>
    </row>
    <row r="20" spans="1:10" ht="20.25" customHeight="1">
      <c r="A20" s="66" t="str">
        <f>+'S&amp;D'!A24</f>
        <v>CenterPoint Energy Inc.</v>
      </c>
      <c r="B20" s="93" t="str">
        <f>+'S&amp;D'!B24</f>
        <v>CNP</v>
      </c>
      <c r="C20" s="93" t="str">
        <f>+'S&amp;D'!C24</f>
        <v>Electric Utility - Central</v>
      </c>
      <c r="D20" s="152">
        <v>0.2</v>
      </c>
      <c r="E20" s="151">
        <v>0.09</v>
      </c>
      <c r="F20" s="151">
        <v>4.4999999999999998E-2</v>
      </c>
      <c r="G20" s="93" t="s">
        <v>26</v>
      </c>
      <c r="H20" s="410">
        <v>1.1499999999999999</v>
      </c>
      <c r="I20" s="410">
        <v>1.1000000000000001</v>
      </c>
    </row>
    <row r="21" spans="1:10" ht="20.25" customHeight="1">
      <c r="A21" s="66" t="str">
        <f>+'S&amp;D'!A25</f>
        <v>CMS Energy Corporation</v>
      </c>
      <c r="B21" s="93" t="str">
        <f>+'S&amp;D'!B25</f>
        <v>CMS</v>
      </c>
      <c r="C21" s="93" t="str">
        <f>+'S&amp;D'!C25</f>
        <v>Electric Utility - Central</v>
      </c>
      <c r="D21" s="152">
        <v>0.10299999999999999</v>
      </c>
      <c r="E21" s="151">
        <v>0.12</v>
      </c>
      <c r="F21" s="151">
        <v>0.04</v>
      </c>
      <c r="G21" s="93" t="s">
        <v>24</v>
      </c>
      <c r="H21" s="410">
        <v>0.8</v>
      </c>
      <c r="I21" s="410">
        <v>0.8</v>
      </c>
    </row>
    <row r="22" spans="1:10" ht="20.25" customHeight="1">
      <c r="A22" s="66" t="str">
        <f>+'S&amp;D'!A26</f>
        <v>New Jersey Resources Corp</v>
      </c>
      <c r="B22" s="93" t="str">
        <f>+'S&amp;D'!B26</f>
        <v>NJR</v>
      </c>
      <c r="C22" s="93" t="str">
        <f>+'S&amp;D'!C26</f>
        <v>Gas Utility</v>
      </c>
      <c r="D22" s="152">
        <v>0.214</v>
      </c>
      <c r="E22" s="151">
        <v>0.13500000000000001</v>
      </c>
      <c r="F22" s="151">
        <v>0.06</v>
      </c>
      <c r="G22" s="93" t="s">
        <v>54</v>
      </c>
      <c r="H22" s="410">
        <v>1</v>
      </c>
      <c r="I22" s="410">
        <v>0.95</v>
      </c>
    </row>
    <row r="23" spans="1:10" ht="20.25" customHeight="1">
      <c r="A23" s="66" t="str">
        <f>+'S&amp;D'!A27</f>
        <v>NISOURCE Inc.</v>
      </c>
      <c r="B23" s="93" t="str">
        <f>+'S&amp;D'!B27</f>
        <v>NI</v>
      </c>
      <c r="C23" s="93" t="str">
        <f>+'S&amp;D'!C27</f>
        <v>Gas Utility</v>
      </c>
      <c r="D23" s="152">
        <v>0.19</v>
      </c>
      <c r="E23" s="151">
        <v>0.125</v>
      </c>
      <c r="F23" s="151">
        <v>3.5000000000000003E-2</v>
      </c>
      <c r="G23" s="93" t="s">
        <v>25</v>
      </c>
      <c r="H23" s="410">
        <v>0.85</v>
      </c>
      <c r="I23" s="410">
        <v>0.9</v>
      </c>
    </row>
    <row r="24" spans="1:10" ht="20.25" customHeight="1">
      <c r="A24" s="66" t="str">
        <f>+'S&amp;D'!A28</f>
        <v xml:space="preserve">Northwest Natural Holding Company </v>
      </c>
      <c r="B24" s="93" t="str">
        <f>+'S&amp;D'!B28</f>
        <v>NWN</v>
      </c>
      <c r="C24" s="93" t="str">
        <f>+'S&amp;D'!C28</f>
        <v>Gas Utility</v>
      </c>
      <c r="D24" s="152">
        <v>0.21</v>
      </c>
      <c r="E24" s="151">
        <v>0.08</v>
      </c>
      <c r="F24" s="151">
        <v>0.03</v>
      </c>
      <c r="G24" s="93" t="s">
        <v>24</v>
      </c>
      <c r="H24" s="410">
        <v>0.8</v>
      </c>
      <c r="I24" s="410">
        <v>0.8</v>
      </c>
      <c r="J24" s="11" t="s">
        <v>0</v>
      </c>
    </row>
    <row r="25" spans="1:10" ht="20.25" customHeight="1">
      <c r="A25" s="66" t="str">
        <f>+'S&amp;D'!A29</f>
        <v>One Gas INC</v>
      </c>
      <c r="B25" s="93" t="str">
        <f>+'S&amp;D'!B29</f>
        <v>OGS</v>
      </c>
      <c r="C25" s="93" t="str">
        <f>+'S&amp;D'!C29</f>
        <v>Gas Utility</v>
      </c>
      <c r="D25" s="152">
        <v>0.17499999999999999</v>
      </c>
      <c r="E25" s="151">
        <v>8.5000000000000006E-2</v>
      </c>
      <c r="F25" s="151">
        <v>3.5000000000000003E-2</v>
      </c>
      <c r="G25" s="93" t="s">
        <v>26</v>
      </c>
      <c r="H25" s="410">
        <v>0.8</v>
      </c>
      <c r="I25" s="410">
        <v>0.8</v>
      </c>
      <c r="J25" s="11"/>
    </row>
    <row r="26" spans="1:10" ht="20.25" customHeight="1">
      <c r="A26" s="66" t="str">
        <f>+'S&amp;D'!A30</f>
        <v>Southwest Gas Holdings, Inc</v>
      </c>
      <c r="B26" s="93" t="str">
        <f>+'S&amp;D'!B30</f>
        <v>SWX</v>
      </c>
      <c r="C26" s="93" t="str">
        <f>+'S&amp;D'!C30</f>
        <v>Gas Utility</v>
      </c>
      <c r="D26" s="152">
        <v>0.21</v>
      </c>
      <c r="E26" s="151">
        <v>7.0000000000000007E-2</v>
      </c>
      <c r="F26" s="151">
        <v>0.02</v>
      </c>
      <c r="G26" s="93" t="s">
        <v>24</v>
      </c>
      <c r="H26" s="410">
        <v>0.95</v>
      </c>
      <c r="I26" s="410">
        <v>0.9</v>
      </c>
      <c r="J26" s="11"/>
    </row>
    <row r="27" spans="1:10" ht="20.25" customHeight="1">
      <c r="A27" s="66" t="str">
        <f>+'S&amp;D'!A31</f>
        <v>Spire Inc / Laclede Group Inc</v>
      </c>
      <c r="B27" s="93" t="str">
        <f>+'S&amp;D'!B31</f>
        <v>SR</v>
      </c>
      <c r="C27" s="93" t="str">
        <f>+'S&amp;D'!C31</f>
        <v>Gas Utility</v>
      </c>
      <c r="D27" s="152">
        <v>0.21099999999999999</v>
      </c>
      <c r="E27" s="151">
        <v>0.09</v>
      </c>
      <c r="F27" s="151">
        <v>0.03</v>
      </c>
      <c r="G27" s="93" t="s">
        <v>26</v>
      </c>
      <c r="H27" s="410">
        <v>0.85</v>
      </c>
      <c r="I27" s="410">
        <v>0.85</v>
      </c>
      <c r="J27" s="11" t="s">
        <v>0</v>
      </c>
    </row>
    <row r="28" spans="1:10" ht="20.25" customHeight="1" thickBot="1">
      <c r="A28" s="66" t="str">
        <f>+'S&amp;D'!A32</f>
        <v>WEC Energy Group</v>
      </c>
      <c r="B28" s="93" t="str">
        <f>+'S&amp;D'!B32</f>
        <v>WEC</v>
      </c>
      <c r="C28" s="93" t="str">
        <f>+'S&amp;D'!C32</f>
        <v>Electric Utility - Central</v>
      </c>
      <c r="D28" s="152">
        <v>0.186</v>
      </c>
      <c r="E28" s="151">
        <v>0.125</v>
      </c>
      <c r="F28" s="151">
        <v>4.4999999999999998E-2</v>
      </c>
      <c r="G28" s="93" t="s">
        <v>54</v>
      </c>
      <c r="H28" s="411">
        <v>0.8</v>
      </c>
      <c r="I28" s="411">
        <v>0.8</v>
      </c>
      <c r="J28" s="11"/>
    </row>
    <row r="29" spans="1:10" ht="20.25" customHeight="1" thickTop="1">
      <c r="A29" s="114"/>
      <c r="B29" s="114"/>
      <c r="C29" s="4"/>
      <c r="D29" s="193" t="s">
        <v>0</v>
      </c>
      <c r="E29" s="4"/>
      <c r="F29" s="4"/>
      <c r="G29" s="130" t="s">
        <v>56</v>
      </c>
      <c r="H29" s="406">
        <v>1.1499999999999999</v>
      </c>
      <c r="I29" s="409">
        <v>1.1000000000000001</v>
      </c>
    </row>
    <row r="30" spans="1:10" ht="20.25" customHeight="1">
      <c r="A30" s="114"/>
      <c r="B30" s="114"/>
      <c r="C30" s="4"/>
      <c r="D30" s="193" t="s">
        <v>0</v>
      </c>
      <c r="E30" s="4"/>
      <c r="F30" s="4"/>
      <c r="G30" s="130" t="s">
        <v>57</v>
      </c>
      <c r="H30" s="407">
        <v>0.8</v>
      </c>
      <c r="I30" s="407">
        <v>0.8</v>
      </c>
    </row>
    <row r="31" spans="1:10" ht="20.25" customHeight="1">
      <c r="A31" s="114"/>
      <c r="B31" s="114"/>
      <c r="C31" s="4"/>
      <c r="D31" s="194" t="s">
        <v>0</v>
      </c>
      <c r="E31" s="4"/>
      <c r="F31" s="4"/>
      <c r="G31" s="130" t="s">
        <v>18</v>
      </c>
      <c r="H31" s="408">
        <f>MEDIAN(H18:H28)</f>
        <v>0.85</v>
      </c>
      <c r="I31" s="408">
        <f>MEDIAN(I18:I28)</f>
        <v>0.85</v>
      </c>
    </row>
    <row r="32" spans="1:10" ht="20.25" customHeight="1">
      <c r="A32" s="114"/>
      <c r="B32" s="114"/>
      <c r="C32" s="4"/>
      <c r="D32" s="133" t="s">
        <v>0</v>
      </c>
      <c r="E32" s="4"/>
      <c r="F32" s="4"/>
      <c r="G32" s="130" t="s">
        <v>474</v>
      </c>
      <c r="H32" s="408">
        <f>AVERAGE(H18:H28)</f>
        <v>0.89090909090909076</v>
      </c>
      <c r="I32" s="408">
        <f>AVERAGE(I18:I28)</f>
        <v>0.88181818181818195</v>
      </c>
    </row>
    <row r="33" spans="1:9" ht="20.25" customHeight="1" thickBot="1">
      <c r="A33" s="13"/>
      <c r="B33" s="13"/>
      <c r="C33" s="13"/>
      <c r="D33" s="13"/>
      <c r="G33" s="13"/>
      <c r="H33" s="14"/>
      <c r="I33" s="14"/>
    </row>
    <row r="34" spans="1:9" ht="20.25" customHeight="1" thickBot="1">
      <c r="A34" s="13"/>
      <c r="B34" s="13"/>
      <c r="C34" s="13"/>
      <c r="D34" s="13"/>
      <c r="G34" s="13"/>
      <c r="H34" s="217" t="s">
        <v>93</v>
      </c>
      <c r="I34" s="314">
        <v>0.88</v>
      </c>
    </row>
    <row r="37" spans="1:9" ht="17.25">
      <c r="A37" s="114" t="s">
        <v>368</v>
      </c>
    </row>
    <row r="38" spans="1:9" ht="17.25">
      <c r="A38" s="114" t="s">
        <v>369</v>
      </c>
    </row>
  </sheetData>
  <pageMargins left="0.25" right="0.25" top="0.75" bottom="0.75" header="0.3" footer="0.3"/>
  <pageSetup scale="5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F0854-9225-4685-BC0B-402957CF1047}">
  <sheetPr>
    <tabColor rgb="FF92D050"/>
  </sheetPr>
  <dimension ref="A1:K34"/>
  <sheetViews>
    <sheetView view="pageBreakPreview" zoomScale="60" zoomScaleNormal="80" workbookViewId="0">
      <selection activeCell="B31" sqref="B31"/>
    </sheetView>
  </sheetViews>
  <sheetFormatPr defaultRowHeight="15"/>
  <cols>
    <col min="1" max="1" width="50.42578125" customWidth="1"/>
    <col min="2" max="2" width="10.85546875" bestFit="1" customWidth="1"/>
    <col min="3" max="3" width="28.7109375" customWidth="1"/>
    <col min="4" max="4" width="15.28515625" customWidth="1"/>
    <col min="5" max="5" width="16" customWidth="1"/>
    <col min="6" max="6" width="20" customWidth="1"/>
    <col min="7" max="7" width="16.5703125" customWidth="1"/>
    <col min="8" max="8" width="19.140625" customWidth="1"/>
    <col min="9" max="10" width="20.140625" customWidth="1"/>
    <col min="11" max="11" width="17.7109375" customWidth="1"/>
    <col min="12" max="12" width="23.7109375" customWidth="1"/>
  </cols>
  <sheetData>
    <row r="1" spans="1:11" ht="26.25">
      <c r="A1" s="25" t="s">
        <v>1</v>
      </c>
      <c r="B1" s="13"/>
      <c r="C1" s="13"/>
      <c r="D1" s="13"/>
      <c r="E1" s="13"/>
      <c r="F1" s="13"/>
      <c r="G1" s="13"/>
      <c r="H1" s="13"/>
      <c r="I1" s="13"/>
      <c r="J1" s="13"/>
    </row>
    <row r="2" spans="1:11" ht="17.25">
      <c r="A2" s="26" t="s">
        <v>9</v>
      </c>
      <c r="B2" s="13"/>
      <c r="C2" s="13"/>
      <c r="D2" s="13"/>
      <c r="E2" s="13"/>
      <c r="F2" s="13"/>
      <c r="G2" s="13"/>
      <c r="H2" s="13"/>
      <c r="I2" s="13"/>
      <c r="J2" s="13"/>
    </row>
    <row r="3" spans="1:11" ht="16.5">
      <c r="A3" s="27" t="s">
        <v>81</v>
      </c>
      <c r="B3" s="13"/>
      <c r="C3" s="13"/>
      <c r="D3" s="13"/>
      <c r="E3" s="13"/>
      <c r="F3" s="13"/>
      <c r="G3" s="13"/>
      <c r="H3" s="13"/>
      <c r="I3" s="13"/>
      <c r="J3" s="13"/>
    </row>
    <row r="4" spans="1:11" ht="16.5">
      <c r="A4" s="27"/>
      <c r="B4" s="13"/>
      <c r="C4" s="13"/>
      <c r="D4" s="13"/>
      <c r="E4" s="13"/>
      <c r="F4" s="13"/>
      <c r="G4" s="13"/>
      <c r="H4" s="13"/>
      <c r="I4" s="13"/>
      <c r="J4" s="13"/>
    </row>
    <row r="5" spans="1:11" ht="17.25" thickBot="1">
      <c r="A5" s="13"/>
      <c r="B5" s="13"/>
      <c r="C5" s="13"/>
      <c r="D5" s="13"/>
      <c r="E5" s="13"/>
      <c r="F5" s="13"/>
      <c r="G5" s="28"/>
      <c r="H5" s="13"/>
      <c r="I5" s="13"/>
      <c r="J5" s="13"/>
    </row>
    <row r="6" spans="1:11" ht="21" thickBot="1">
      <c r="A6" s="281" t="str">
        <f>+'S&amp;D'!A12</f>
        <v>Natural Gas Utility Distribution</v>
      </c>
      <c r="B6" s="211"/>
      <c r="C6" s="13"/>
      <c r="D6" s="30"/>
      <c r="E6" s="30"/>
      <c r="F6" s="31" t="s">
        <v>0</v>
      </c>
      <c r="G6" s="13"/>
      <c r="H6" s="13"/>
      <c r="I6" s="13"/>
      <c r="J6" s="13"/>
    </row>
    <row r="7" spans="1:11" ht="26.25">
      <c r="A7" s="32"/>
      <c r="B7" s="13"/>
      <c r="C7" s="13"/>
      <c r="D7" s="13"/>
      <c r="E7" s="33" t="s">
        <v>193</v>
      </c>
      <c r="F7" s="13"/>
      <c r="G7" s="13"/>
      <c r="H7" s="13"/>
      <c r="I7" s="13"/>
      <c r="J7" s="13"/>
    </row>
    <row r="8" spans="1:11" ht="21" thickBot="1">
      <c r="A8" s="32"/>
      <c r="B8" s="13"/>
      <c r="C8" s="13"/>
      <c r="D8" s="30"/>
      <c r="E8" s="34" t="s">
        <v>95</v>
      </c>
      <c r="F8" s="30"/>
      <c r="G8" s="13"/>
      <c r="H8" s="13"/>
      <c r="I8" s="13"/>
      <c r="J8" s="13"/>
    </row>
    <row r="9" spans="1:11" ht="17.25" thickBot="1">
      <c r="A9" s="35" t="s">
        <v>0</v>
      </c>
      <c r="B9" s="35" t="s">
        <v>0</v>
      </c>
      <c r="C9" s="35" t="s">
        <v>0</v>
      </c>
      <c r="D9" s="35" t="s">
        <v>0</v>
      </c>
      <c r="E9" s="35" t="s">
        <v>0</v>
      </c>
      <c r="F9" s="35"/>
      <c r="G9" s="30"/>
      <c r="H9" s="30"/>
      <c r="I9" s="30"/>
      <c r="J9" s="30"/>
      <c r="K9" s="165"/>
    </row>
    <row r="10" spans="1:11" ht="16.5">
      <c r="A10" s="36" t="s">
        <v>0</v>
      </c>
      <c r="B10" s="36" t="s">
        <v>3</v>
      </c>
      <c r="C10" s="36" t="s">
        <v>5</v>
      </c>
      <c r="D10" s="36" t="s">
        <v>188</v>
      </c>
      <c r="E10" s="36" t="s">
        <v>189</v>
      </c>
      <c r="F10" s="36" t="s">
        <v>191</v>
      </c>
      <c r="G10" s="36" t="s">
        <v>189</v>
      </c>
      <c r="H10" s="36" t="s">
        <v>191</v>
      </c>
      <c r="I10" s="36" t="s">
        <v>189</v>
      </c>
      <c r="J10" s="36" t="s">
        <v>191</v>
      </c>
      <c r="K10" s="36" t="s">
        <v>305</v>
      </c>
    </row>
    <row r="11" spans="1:11" ht="16.5">
      <c r="A11" s="36"/>
      <c r="B11" s="36" t="s">
        <v>4</v>
      </c>
      <c r="C11" s="36" t="s">
        <v>6</v>
      </c>
      <c r="D11" s="36" t="s">
        <v>28</v>
      </c>
      <c r="E11" s="36" t="s">
        <v>190</v>
      </c>
      <c r="F11" s="36" t="s">
        <v>141</v>
      </c>
      <c r="G11" s="36" t="s">
        <v>190</v>
      </c>
      <c r="H11" s="36" t="s">
        <v>141</v>
      </c>
      <c r="I11" s="36" t="s">
        <v>190</v>
      </c>
      <c r="J11" s="36" t="s">
        <v>141</v>
      </c>
      <c r="K11" s="36" t="s">
        <v>207</v>
      </c>
    </row>
    <row r="12" spans="1:11" ht="17.25" thickBot="1">
      <c r="A12" s="38" t="s">
        <v>2</v>
      </c>
      <c r="B12" s="38" t="s">
        <v>0</v>
      </c>
      <c r="C12" s="38" t="s">
        <v>0</v>
      </c>
      <c r="D12" s="38" t="s">
        <v>0</v>
      </c>
      <c r="E12" s="38" t="s">
        <v>192</v>
      </c>
      <c r="F12" s="38" t="s">
        <v>192</v>
      </c>
      <c r="G12" s="38" t="s">
        <v>303</v>
      </c>
      <c r="H12" s="38" t="s">
        <v>303</v>
      </c>
      <c r="I12" s="38" t="s">
        <v>304</v>
      </c>
      <c r="J12" s="38" t="s">
        <v>304</v>
      </c>
      <c r="K12" s="244" t="s">
        <v>306</v>
      </c>
    </row>
    <row r="13" spans="1:11">
      <c r="A13" s="40" t="s">
        <v>7</v>
      </c>
      <c r="B13" s="40" t="s">
        <v>7</v>
      </c>
      <c r="C13" s="40" t="s">
        <v>7</v>
      </c>
      <c r="D13" s="41" t="s">
        <v>134</v>
      </c>
      <c r="E13" s="40" t="s">
        <v>7</v>
      </c>
      <c r="F13" s="40" t="s">
        <v>0</v>
      </c>
      <c r="G13" s="40" t="s">
        <v>7</v>
      </c>
      <c r="H13" s="40" t="s">
        <v>0</v>
      </c>
      <c r="I13" s="40" t="s">
        <v>7</v>
      </c>
      <c r="J13" s="40" t="s">
        <v>0</v>
      </c>
      <c r="K13" s="40" t="s">
        <v>0</v>
      </c>
    </row>
    <row r="14" spans="1:11" ht="16.5">
      <c r="A14" s="36"/>
      <c r="B14" s="36"/>
      <c r="C14" s="36"/>
      <c r="D14" s="36"/>
      <c r="E14" s="36"/>
      <c r="F14" s="36"/>
      <c r="G14" s="13"/>
      <c r="H14" s="13"/>
      <c r="I14" s="13"/>
      <c r="J14" s="13"/>
      <c r="K14" s="13"/>
    </row>
    <row r="15" spans="1:11" ht="16.5">
      <c r="A15" s="13"/>
      <c r="B15" s="13"/>
      <c r="C15" s="13"/>
      <c r="D15" s="13"/>
      <c r="E15" s="13"/>
      <c r="F15" s="13"/>
      <c r="G15" s="13"/>
      <c r="H15" s="13"/>
      <c r="I15" s="13"/>
      <c r="J15" s="13"/>
      <c r="K15" s="13"/>
    </row>
    <row r="16" spans="1:11" ht="17.25">
      <c r="A16" s="66" t="str">
        <f>+'S&amp;D'!A22</f>
        <v>Atmos Energy Corp</v>
      </c>
      <c r="B16" s="93" t="str">
        <f>+'S&amp;D'!B22</f>
        <v>ATO</v>
      </c>
      <c r="C16" s="93" t="str">
        <f>+'S&amp;D'!C22</f>
        <v>Gas Utility</v>
      </c>
      <c r="D16" s="63">
        <f>+'S&amp;D'!G22</f>
        <v>112.07</v>
      </c>
      <c r="E16" s="378">
        <v>2.72</v>
      </c>
      <c r="F16" s="56">
        <f>+E16/D16</f>
        <v>2.4270545194967436E-2</v>
      </c>
      <c r="G16" s="378">
        <v>2.96</v>
      </c>
      <c r="H16" s="56">
        <f>+G16/D16</f>
        <v>2.6412063888641028E-2</v>
      </c>
      <c r="I16" s="378">
        <v>3.9</v>
      </c>
      <c r="J16" s="56">
        <f>+I16/D16</f>
        <v>3.4799678772195954E-2</v>
      </c>
      <c r="K16" s="391">
        <f>RATE(3,,-G16,I16)</f>
        <v>9.6287087016805301E-2</v>
      </c>
    </row>
    <row r="17" spans="1:11" ht="17.25">
      <c r="A17" s="66" t="str">
        <f>+'S&amp;D'!A23</f>
        <v>Black Hills Corporation</v>
      </c>
      <c r="B17" s="93" t="str">
        <f>+'S&amp;D'!B23</f>
        <v>BKH</v>
      </c>
      <c r="C17" s="93" t="str">
        <f>+'S&amp;D'!C23</f>
        <v>Electric Utility - West</v>
      </c>
      <c r="D17" s="63">
        <f>+'S&amp;D'!G23</f>
        <v>70.34</v>
      </c>
      <c r="E17" s="378">
        <v>2.29</v>
      </c>
      <c r="F17" s="56">
        <f t="shared" ref="F17:F26" si="0">+E17/D17</f>
        <v>3.2556155814614726E-2</v>
      </c>
      <c r="G17" s="378">
        <v>2.41</v>
      </c>
      <c r="H17" s="56">
        <f t="shared" ref="H17:H26" si="1">+G17/D17</f>
        <v>3.426215524594825E-2</v>
      </c>
      <c r="I17" s="378">
        <v>2.95</v>
      </c>
      <c r="J17" s="56">
        <f t="shared" ref="J17:J26" si="2">+I17/D17</f>
        <v>4.1939152686949102E-2</v>
      </c>
      <c r="K17" s="391">
        <f>RATE(3,,-G17,I17)</f>
        <v>6.9715588088827288E-2</v>
      </c>
    </row>
    <row r="18" spans="1:11" ht="17.25">
      <c r="A18" s="66" t="str">
        <f>+'S&amp;D'!A24</f>
        <v>CenterPoint Energy Inc.</v>
      </c>
      <c r="B18" s="93" t="str">
        <f>+'S&amp;D'!B24</f>
        <v>CNP</v>
      </c>
      <c r="C18" s="93" t="str">
        <f>+'S&amp;D'!C24</f>
        <v>Electric Utility - Central</v>
      </c>
      <c r="D18" s="63">
        <f>+'S&amp;D'!G24</f>
        <v>29.99</v>
      </c>
      <c r="E18" s="378">
        <v>0.7</v>
      </c>
      <c r="F18" s="56">
        <f t="shared" si="0"/>
        <v>2.3341113704568189E-2</v>
      </c>
      <c r="G18" s="378">
        <v>0.77</v>
      </c>
      <c r="H18" s="56">
        <f t="shared" si="1"/>
        <v>2.567522507502501E-2</v>
      </c>
      <c r="I18" s="378">
        <v>0.95</v>
      </c>
      <c r="J18" s="56">
        <f t="shared" si="2"/>
        <v>3.1677225741913971E-2</v>
      </c>
      <c r="K18" s="391">
        <f t="shared" ref="K18:K26" si="3">RATE(3,,-G18,I18)</f>
        <v>7.253373218818028E-2</v>
      </c>
    </row>
    <row r="19" spans="1:11" ht="17.25">
      <c r="A19" s="66" t="str">
        <f>+'S&amp;D'!A25</f>
        <v>CMS Energy Corporation</v>
      </c>
      <c r="B19" s="93" t="str">
        <f>+'S&amp;D'!B25</f>
        <v>CMS</v>
      </c>
      <c r="C19" s="93" t="str">
        <f>+'S&amp;D'!C25</f>
        <v>Electric Utility - Central</v>
      </c>
      <c r="D19" s="63">
        <f>+'S&amp;D'!G25</f>
        <v>63.33</v>
      </c>
      <c r="E19" s="378">
        <v>1.84</v>
      </c>
      <c r="F19" s="56">
        <f t="shared" si="0"/>
        <v>2.9054160745302385E-2</v>
      </c>
      <c r="G19" s="378">
        <v>1.95</v>
      </c>
      <c r="H19" s="56">
        <f t="shared" si="1"/>
        <v>3.0791094268119375E-2</v>
      </c>
      <c r="I19" s="378">
        <v>2.2999999999999998</v>
      </c>
      <c r="J19" s="56">
        <f t="shared" si="2"/>
        <v>3.6317700931627978E-2</v>
      </c>
      <c r="K19" s="391">
        <f t="shared" si="3"/>
        <v>5.6568701546746411E-2</v>
      </c>
    </row>
    <row r="20" spans="1:11" ht="17.25">
      <c r="A20" s="66" t="str">
        <f>+'S&amp;D'!A26</f>
        <v>New Jersey Resources Corp</v>
      </c>
      <c r="B20" s="93" t="str">
        <f>+'S&amp;D'!B26</f>
        <v>NJR</v>
      </c>
      <c r="C20" s="93" t="str">
        <f>+'S&amp;D'!C26</f>
        <v>Gas Utility</v>
      </c>
      <c r="D20" s="63">
        <f>+'S&amp;D'!G26</f>
        <v>49.62</v>
      </c>
      <c r="E20" s="378">
        <v>1.45</v>
      </c>
      <c r="F20" s="56">
        <f t="shared" si="0"/>
        <v>2.9222087867795246E-2</v>
      </c>
      <c r="G20" s="378">
        <v>1.56</v>
      </c>
      <c r="H20" s="56">
        <f t="shared" si="1"/>
        <v>3.1438935912938337E-2</v>
      </c>
      <c r="I20" s="378">
        <v>1.95</v>
      </c>
      <c r="J20" s="56">
        <f t="shared" si="2"/>
        <v>3.9298669891172915E-2</v>
      </c>
      <c r="K20" s="391">
        <f t="shared" si="3"/>
        <v>7.7217345015989383E-2</v>
      </c>
    </row>
    <row r="21" spans="1:11" ht="17.25">
      <c r="A21" s="66" t="str">
        <f>+'S&amp;D'!A27</f>
        <v>NISOURCE Inc.</v>
      </c>
      <c r="B21" s="93" t="str">
        <f>+'S&amp;D'!B27</f>
        <v>NI</v>
      </c>
      <c r="C21" s="93" t="str">
        <f>+'S&amp;D'!C27</f>
        <v>Gas Utility</v>
      </c>
      <c r="D21" s="63">
        <f>+'S&amp;D'!G27</f>
        <v>27.42</v>
      </c>
      <c r="E21" s="378">
        <v>0.94</v>
      </c>
      <c r="F21" s="56">
        <f t="shared" si="0"/>
        <v>3.4281546316557256E-2</v>
      </c>
      <c r="G21" s="378">
        <v>1</v>
      </c>
      <c r="H21" s="56">
        <f t="shared" si="1"/>
        <v>3.6469730123997082E-2</v>
      </c>
      <c r="I21" s="378">
        <v>1.1200000000000001</v>
      </c>
      <c r="J21" s="56">
        <f t="shared" si="2"/>
        <v>4.0846097738876735E-2</v>
      </c>
      <c r="K21" s="391">
        <f t="shared" si="3"/>
        <v>3.8498820370221017E-2</v>
      </c>
    </row>
    <row r="22" spans="1:11" ht="17.25">
      <c r="A22" s="66" t="str">
        <f>+'S&amp;D'!A28</f>
        <v xml:space="preserve">Northwest Natural Holding Company </v>
      </c>
      <c r="B22" s="93" t="str">
        <f>+'S&amp;D'!B28</f>
        <v>NWN</v>
      </c>
      <c r="C22" s="93" t="str">
        <f>+'S&amp;D'!C28</f>
        <v>Gas Utility</v>
      </c>
      <c r="D22" s="63">
        <f>+'S&amp;D'!G28</f>
        <v>47.59</v>
      </c>
      <c r="E22" s="378">
        <v>1.93</v>
      </c>
      <c r="F22" s="56">
        <f t="shared" si="0"/>
        <v>4.0554738390418149E-2</v>
      </c>
      <c r="G22" s="378">
        <v>1.94</v>
      </c>
      <c r="H22" s="56">
        <f t="shared" si="1"/>
        <v>4.0764866568606846E-2</v>
      </c>
      <c r="I22" s="378">
        <v>1.98</v>
      </c>
      <c r="J22" s="56">
        <f t="shared" si="2"/>
        <v>4.1605379281361626E-2</v>
      </c>
      <c r="K22" s="412">
        <f t="shared" si="3"/>
        <v>6.8261498869230742E-3</v>
      </c>
    </row>
    <row r="23" spans="1:11" ht="17.25">
      <c r="A23" s="66" t="str">
        <f>+'S&amp;D'!A29</f>
        <v>One Gas INC</v>
      </c>
      <c r="B23" s="93" t="str">
        <f>+'S&amp;D'!B29</f>
        <v>OGS</v>
      </c>
      <c r="C23" s="93" t="str">
        <f>+'S&amp;D'!C29</f>
        <v>Gas Utility</v>
      </c>
      <c r="D23" s="63">
        <f>+'S&amp;D'!G29</f>
        <v>75.72</v>
      </c>
      <c r="E23" s="378">
        <v>2.48</v>
      </c>
      <c r="F23" s="56">
        <f t="shared" si="0"/>
        <v>3.2752245113576335E-2</v>
      </c>
      <c r="G23" s="378">
        <v>2.6</v>
      </c>
      <c r="H23" s="56">
        <f t="shared" si="1"/>
        <v>3.4337031167459064E-2</v>
      </c>
      <c r="I23" s="378">
        <v>3.15</v>
      </c>
      <c r="J23" s="56">
        <f t="shared" si="2"/>
        <v>4.160063391442155E-2</v>
      </c>
      <c r="K23" s="391">
        <f t="shared" si="3"/>
        <v>6.6053667551115677E-2</v>
      </c>
    </row>
    <row r="24" spans="1:11" ht="17.25">
      <c r="A24" s="66" t="str">
        <f>+'S&amp;D'!A30</f>
        <v>Southwest Gas Holdings, Inc</v>
      </c>
      <c r="B24" s="93" t="str">
        <f>+'S&amp;D'!B30</f>
        <v>SWX</v>
      </c>
      <c r="C24" s="93" t="str">
        <f>+'S&amp;D'!C30</f>
        <v>Gas Utility</v>
      </c>
      <c r="D24" s="63">
        <f>+'S&amp;D'!G30</f>
        <v>61.88</v>
      </c>
      <c r="E24" s="378">
        <v>2.48</v>
      </c>
      <c r="F24" s="56">
        <f t="shared" si="0"/>
        <v>4.0077569489334192E-2</v>
      </c>
      <c r="G24" s="378">
        <v>2.58</v>
      </c>
      <c r="H24" s="56">
        <f t="shared" si="1"/>
        <v>4.1693600517129926E-2</v>
      </c>
      <c r="I24" s="378">
        <v>2.98</v>
      </c>
      <c r="J24" s="56">
        <f t="shared" si="2"/>
        <v>4.8157724628312859E-2</v>
      </c>
      <c r="K24" s="391">
        <f t="shared" si="3"/>
        <v>4.9217484907025585E-2</v>
      </c>
    </row>
    <row r="25" spans="1:11" ht="17.25">
      <c r="A25" s="66" t="str">
        <f>+'S&amp;D'!A31</f>
        <v>Spire Inc / Laclede Group Inc</v>
      </c>
      <c r="B25" s="93" t="str">
        <f>+'S&amp;D'!B31</f>
        <v>SR</v>
      </c>
      <c r="C25" s="93" t="str">
        <f>+'S&amp;D'!C31</f>
        <v>Gas Utility</v>
      </c>
      <c r="D25" s="63">
        <f>+'S&amp;D'!G31</f>
        <v>68.86</v>
      </c>
      <c r="E25" s="378">
        <v>2.74</v>
      </c>
      <c r="F25" s="56">
        <f t="shared" si="0"/>
        <v>3.9790880046471105E-2</v>
      </c>
      <c r="G25" s="378">
        <v>2.88</v>
      </c>
      <c r="H25" s="56">
        <f t="shared" si="1"/>
        <v>4.1823990705779843E-2</v>
      </c>
      <c r="I25" s="378">
        <v>3.45</v>
      </c>
      <c r="J25" s="56">
        <f t="shared" si="2"/>
        <v>5.0101655532965438E-2</v>
      </c>
      <c r="K25" s="391">
        <f t="shared" si="3"/>
        <v>6.204324850965405E-2</v>
      </c>
    </row>
    <row r="26" spans="1:11" ht="17.25">
      <c r="A26" s="66" t="str">
        <f>+'S&amp;D'!A32</f>
        <v>WEC Energy Group</v>
      </c>
      <c r="B26" s="93" t="str">
        <f>+'S&amp;D'!B32</f>
        <v>WEC</v>
      </c>
      <c r="C26" s="93" t="str">
        <f>+'S&amp;D'!C32</f>
        <v>Electric Utility - Central</v>
      </c>
      <c r="D26" s="63">
        <f>+'S&amp;D'!G32</f>
        <v>93.76</v>
      </c>
      <c r="E26" s="378">
        <v>2.91</v>
      </c>
      <c r="F26" s="56">
        <f t="shared" si="0"/>
        <v>3.1036689419795222E-2</v>
      </c>
      <c r="G26" s="378">
        <v>3.12</v>
      </c>
      <c r="H26" s="56">
        <f t="shared" si="1"/>
        <v>3.3276450511945395E-2</v>
      </c>
      <c r="I26" s="378">
        <v>3.8</v>
      </c>
      <c r="J26" s="56">
        <f t="shared" si="2"/>
        <v>4.0529010238907849E-2</v>
      </c>
      <c r="K26" s="391">
        <f t="shared" si="3"/>
        <v>6.7930526474138844E-2</v>
      </c>
    </row>
    <row r="27" spans="1:11" ht="17.25" thickBot="1">
      <c r="A27" s="13"/>
      <c r="B27" s="13"/>
      <c r="C27" s="45"/>
      <c r="D27" s="48"/>
      <c r="E27" s="48"/>
      <c r="F27" s="48"/>
      <c r="G27" s="48"/>
      <c r="H27" s="48"/>
      <c r="I27" s="48"/>
      <c r="J27" s="48"/>
      <c r="K27" s="48"/>
    </row>
    <row r="28" spans="1:11" ht="17.25" thickTop="1">
      <c r="A28" s="13"/>
      <c r="B28" s="13"/>
      <c r="D28" s="15" t="s">
        <v>56</v>
      </c>
      <c r="E28" s="17">
        <v>2.91</v>
      </c>
      <c r="F28" s="311">
        <v>4.0599999999999997E-2</v>
      </c>
      <c r="G28" s="17">
        <v>3.12</v>
      </c>
      <c r="H28" s="311">
        <v>4.1799999999999997E-2</v>
      </c>
      <c r="I28" s="17">
        <v>3.9</v>
      </c>
      <c r="J28" s="311">
        <v>5.0099999999999999E-2</v>
      </c>
      <c r="K28" s="311">
        <v>9.6299999999999997E-2</v>
      </c>
    </row>
    <row r="29" spans="1:11" ht="16.5">
      <c r="A29" s="13"/>
      <c r="B29" s="13"/>
      <c r="D29" s="15" t="s">
        <v>57</v>
      </c>
      <c r="E29" s="315">
        <v>0.7</v>
      </c>
      <c r="F29" s="312">
        <v>2.3300000000000001E-2</v>
      </c>
      <c r="G29" s="315">
        <v>0.77</v>
      </c>
      <c r="H29" s="312">
        <v>2.5700000000000001E-2</v>
      </c>
      <c r="I29" s="315">
        <v>0.95</v>
      </c>
      <c r="J29" s="312">
        <v>3.1699999999999999E-2</v>
      </c>
      <c r="K29" s="312">
        <v>6.7999999999999996E-3</v>
      </c>
    </row>
    <row r="30" spans="1:11" ht="16.5">
      <c r="A30" s="13"/>
      <c r="B30" s="13"/>
      <c r="D30" s="15" t="s">
        <v>18</v>
      </c>
      <c r="E30" s="18">
        <f t="shared" ref="E30:K30" si="4">MEDIAN(E16:E26)</f>
        <v>2.29</v>
      </c>
      <c r="F30" s="57">
        <f t="shared" si="4"/>
        <v>3.2556155814614726E-2</v>
      </c>
      <c r="G30" s="18">
        <f t="shared" si="4"/>
        <v>2.41</v>
      </c>
      <c r="H30" s="57">
        <f t="shared" si="4"/>
        <v>3.426215524594825E-2</v>
      </c>
      <c r="I30" s="18">
        <f t="shared" si="4"/>
        <v>2.95</v>
      </c>
      <c r="J30" s="57">
        <f t="shared" si="4"/>
        <v>4.0846097738876735E-2</v>
      </c>
      <c r="K30" s="57">
        <f t="shared" si="4"/>
        <v>6.6053667551115677E-2</v>
      </c>
    </row>
    <row r="31" spans="1:11" ht="16.5">
      <c r="A31" s="13"/>
      <c r="B31" s="13"/>
      <c r="D31" s="15" t="s">
        <v>474</v>
      </c>
      <c r="E31" s="22">
        <f t="shared" ref="E31:K31" si="5">AVERAGE(E16:E26)</f>
        <v>2.0436363636363635</v>
      </c>
      <c r="F31" s="59">
        <f t="shared" si="5"/>
        <v>3.2448884736672741E-2</v>
      </c>
      <c r="G31" s="22">
        <f t="shared" si="5"/>
        <v>2.1609090909090907</v>
      </c>
      <c r="H31" s="59">
        <f t="shared" si="5"/>
        <v>3.4267740362326382E-2</v>
      </c>
      <c r="I31" s="22">
        <f t="shared" si="5"/>
        <v>2.5936363636363633</v>
      </c>
      <c r="J31" s="59">
        <f t="shared" si="5"/>
        <v>4.0624811759882362E-2</v>
      </c>
      <c r="K31" s="59">
        <f t="shared" si="5"/>
        <v>6.0262941050511547E-2</v>
      </c>
    </row>
    <row r="32" spans="1:11" ht="16.5">
      <c r="A32" s="13"/>
      <c r="B32" s="13"/>
      <c r="C32" s="13"/>
      <c r="D32" s="13"/>
      <c r="E32" s="13"/>
      <c r="F32" s="13"/>
      <c r="G32" s="13"/>
      <c r="H32" s="13"/>
      <c r="I32" s="13"/>
      <c r="J32" s="13"/>
      <c r="K32" s="13"/>
    </row>
    <row r="33" spans="1:11" ht="26.25">
      <c r="A33" s="13"/>
      <c r="B33" s="13"/>
      <c r="C33" s="13"/>
      <c r="D33" s="13"/>
      <c r="E33" s="13"/>
      <c r="F33" s="51" t="s">
        <v>0</v>
      </c>
      <c r="G33" s="67" t="s">
        <v>0</v>
      </c>
      <c r="H33" s="13"/>
      <c r="I33" s="13"/>
      <c r="J33" s="13"/>
      <c r="K33" s="13"/>
    </row>
    <row r="34" spans="1:11" ht="18.75">
      <c r="A34" s="245" t="s">
        <v>307</v>
      </c>
    </row>
  </sheetData>
  <pageMargins left="0.25" right="0.25" top="0.75" bottom="0.75" header="0.3" footer="0.3"/>
  <pageSetup scale="5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596C7-3CA4-4A86-9548-2C135C060B79}">
  <sheetPr>
    <tabColor rgb="FF92D050"/>
  </sheetPr>
  <dimension ref="A1:K34"/>
  <sheetViews>
    <sheetView view="pageBreakPreview" zoomScale="60" zoomScaleNormal="80" workbookViewId="0">
      <selection activeCell="J6" sqref="J6"/>
    </sheetView>
  </sheetViews>
  <sheetFormatPr defaultRowHeight="15"/>
  <cols>
    <col min="1" max="1" width="51.5703125" customWidth="1"/>
    <col min="2" max="2" width="10.85546875" bestFit="1" customWidth="1"/>
    <col min="3" max="3" width="23.7109375" customWidth="1"/>
    <col min="4" max="4" width="15.28515625" customWidth="1"/>
    <col min="5" max="5" width="16" customWidth="1"/>
    <col min="6" max="6" width="20" customWidth="1"/>
    <col min="7" max="7" width="16.5703125" customWidth="1"/>
    <col min="8" max="8" width="19.140625" customWidth="1"/>
    <col min="9" max="10" width="20.140625" customWidth="1"/>
    <col min="11" max="11" width="17.7109375" customWidth="1"/>
    <col min="12" max="12" width="23.7109375" customWidth="1"/>
  </cols>
  <sheetData>
    <row r="1" spans="1:11" ht="26.25">
      <c r="A1" s="25" t="s">
        <v>1</v>
      </c>
      <c r="B1" s="13"/>
      <c r="C1" s="13"/>
      <c r="D1" s="13"/>
      <c r="E1" s="13"/>
      <c r="F1" s="13"/>
      <c r="G1" s="13"/>
      <c r="H1" s="13"/>
      <c r="I1" s="13"/>
      <c r="J1" s="13"/>
    </row>
    <row r="2" spans="1:11" ht="17.25">
      <c r="A2" s="26" t="s">
        <v>9</v>
      </c>
      <c r="B2" s="13"/>
      <c r="C2" s="13"/>
      <c r="D2" s="13"/>
      <c r="E2" s="13"/>
      <c r="F2" s="13"/>
      <c r="G2" s="13"/>
      <c r="H2" s="13"/>
      <c r="I2" s="13"/>
      <c r="J2" s="13"/>
    </row>
    <row r="3" spans="1:11" ht="16.5">
      <c r="A3" s="27" t="s">
        <v>81</v>
      </c>
      <c r="B3" s="13"/>
      <c r="C3" s="13"/>
      <c r="D3" s="13"/>
      <c r="E3" s="13"/>
      <c r="F3" s="13"/>
      <c r="G3" s="13"/>
      <c r="H3" s="13"/>
      <c r="I3" s="13"/>
      <c r="J3" s="13"/>
    </row>
    <row r="4" spans="1:11" ht="16.5">
      <c r="A4" s="27"/>
      <c r="B4" s="13"/>
      <c r="C4" s="13"/>
      <c r="D4" s="13"/>
      <c r="E4" s="13"/>
      <c r="F4" s="13"/>
      <c r="G4" s="13"/>
      <c r="H4" s="13"/>
      <c r="I4" s="13"/>
      <c r="J4" s="13"/>
    </row>
    <row r="5" spans="1:11" ht="17.25" thickBot="1">
      <c r="A5" s="13"/>
      <c r="B5" s="13"/>
      <c r="C5" s="13"/>
      <c r="D5" s="13"/>
      <c r="E5" s="13"/>
      <c r="F5" s="13"/>
      <c r="G5" s="28"/>
      <c r="H5" s="13"/>
      <c r="I5" s="13"/>
      <c r="J5" s="13"/>
    </row>
    <row r="6" spans="1:11" ht="21" thickBot="1">
      <c r="A6" s="281" t="str">
        <f>+'S&amp;D'!A12</f>
        <v>Natural Gas Utility Distribution</v>
      </c>
      <c r="B6" s="211"/>
      <c r="C6" s="13"/>
      <c r="D6" s="30"/>
      <c r="E6" s="30"/>
      <c r="F6" s="31" t="s">
        <v>0</v>
      </c>
      <c r="G6" s="13"/>
      <c r="H6" s="13"/>
      <c r="I6" s="13"/>
      <c r="J6" s="13"/>
    </row>
    <row r="7" spans="1:11" ht="26.25">
      <c r="A7" s="32"/>
      <c r="B7" s="13"/>
      <c r="C7" s="13"/>
      <c r="D7" s="13"/>
      <c r="E7" s="33" t="s">
        <v>308</v>
      </c>
      <c r="F7" s="13"/>
      <c r="G7" s="13"/>
      <c r="H7" s="13"/>
      <c r="I7" s="13"/>
      <c r="J7" s="13"/>
    </row>
    <row r="8" spans="1:11" ht="21" thickBot="1">
      <c r="A8" s="32"/>
      <c r="B8" s="13"/>
      <c r="C8" s="13"/>
      <c r="D8" s="30"/>
      <c r="E8" s="34" t="s">
        <v>95</v>
      </c>
      <c r="F8" s="30"/>
      <c r="G8" s="13"/>
      <c r="H8" s="13"/>
      <c r="I8" s="13"/>
      <c r="J8" s="13"/>
    </row>
    <row r="9" spans="1:11" ht="17.25" thickBot="1">
      <c r="A9" s="35" t="s">
        <v>0</v>
      </c>
      <c r="B9" s="35" t="s">
        <v>0</v>
      </c>
      <c r="C9" s="35" t="s">
        <v>0</v>
      </c>
      <c r="D9" s="35" t="s">
        <v>0</v>
      </c>
      <c r="E9" s="35" t="s">
        <v>0</v>
      </c>
      <c r="F9" s="35"/>
      <c r="G9" s="30"/>
      <c r="H9" s="30"/>
      <c r="I9" s="30"/>
      <c r="J9" s="30"/>
      <c r="K9" s="165"/>
    </row>
    <row r="10" spans="1:11" ht="16.5">
      <c r="A10" s="36" t="s">
        <v>0</v>
      </c>
      <c r="B10" s="36" t="s">
        <v>3</v>
      </c>
      <c r="C10" s="36" t="s">
        <v>5</v>
      </c>
      <c r="D10" s="36" t="s">
        <v>188</v>
      </c>
      <c r="E10" s="36" t="s">
        <v>195</v>
      </c>
      <c r="F10" s="36" t="s">
        <v>195</v>
      </c>
      <c r="G10" s="36" t="s">
        <v>195</v>
      </c>
      <c r="H10" s="36" t="s">
        <v>195</v>
      </c>
      <c r="I10" s="36" t="s">
        <v>195</v>
      </c>
      <c r="J10" s="36" t="s">
        <v>195</v>
      </c>
      <c r="K10" s="36" t="s">
        <v>305</v>
      </c>
    </row>
    <row r="11" spans="1:11" ht="16.5">
      <c r="A11" s="36"/>
      <c r="B11" s="36" t="s">
        <v>4</v>
      </c>
      <c r="C11" s="36" t="s">
        <v>6</v>
      </c>
      <c r="D11" s="36" t="s">
        <v>28</v>
      </c>
      <c r="E11" s="36" t="s">
        <v>190</v>
      </c>
      <c r="F11" s="36" t="s">
        <v>141</v>
      </c>
      <c r="G11" s="36" t="s">
        <v>190</v>
      </c>
      <c r="H11" s="36" t="s">
        <v>141</v>
      </c>
      <c r="I11" s="36" t="s">
        <v>190</v>
      </c>
      <c r="J11" s="36" t="s">
        <v>141</v>
      </c>
      <c r="K11" s="36" t="s">
        <v>207</v>
      </c>
    </row>
    <row r="12" spans="1:11" ht="17.25" thickBot="1">
      <c r="A12" s="38" t="s">
        <v>2</v>
      </c>
      <c r="B12" s="38" t="s">
        <v>0</v>
      </c>
      <c r="C12" s="38" t="s">
        <v>0</v>
      </c>
      <c r="D12" s="38" t="s">
        <v>0</v>
      </c>
      <c r="E12" s="38" t="s">
        <v>192</v>
      </c>
      <c r="F12" s="38" t="s">
        <v>192</v>
      </c>
      <c r="G12" s="38" t="s">
        <v>303</v>
      </c>
      <c r="H12" s="38" t="s">
        <v>303</v>
      </c>
      <c r="I12" s="38" t="s">
        <v>304</v>
      </c>
      <c r="J12" s="38" t="s">
        <v>304</v>
      </c>
      <c r="K12" s="244" t="s">
        <v>306</v>
      </c>
    </row>
    <row r="13" spans="1:11">
      <c r="A13" s="40" t="s">
        <v>7</v>
      </c>
      <c r="B13" s="40" t="s">
        <v>7</v>
      </c>
      <c r="C13" s="40" t="s">
        <v>7</v>
      </c>
      <c r="D13" s="41" t="s">
        <v>134</v>
      </c>
      <c r="E13" s="40" t="s">
        <v>7</v>
      </c>
      <c r="F13" s="40" t="s">
        <v>0</v>
      </c>
      <c r="G13" s="40" t="s">
        <v>7</v>
      </c>
      <c r="H13" s="40" t="s">
        <v>0</v>
      </c>
      <c r="I13" s="40" t="s">
        <v>7</v>
      </c>
      <c r="J13" s="40" t="s">
        <v>0</v>
      </c>
      <c r="K13" s="40" t="s">
        <v>0</v>
      </c>
    </row>
    <row r="14" spans="1:11" ht="16.5">
      <c r="A14" s="36"/>
      <c r="B14" s="36"/>
      <c r="C14" s="36"/>
      <c r="D14" s="36"/>
      <c r="E14" s="36"/>
      <c r="F14" s="36"/>
      <c r="G14" s="13"/>
      <c r="H14" s="13"/>
      <c r="I14" s="13"/>
      <c r="J14" s="13"/>
      <c r="K14" s="13"/>
    </row>
    <row r="15" spans="1:11" ht="16.5">
      <c r="A15" s="13"/>
      <c r="B15" s="13"/>
      <c r="C15" s="13"/>
      <c r="D15" s="13"/>
      <c r="E15" s="13"/>
      <c r="F15" s="13"/>
      <c r="G15" s="13"/>
      <c r="H15" s="13"/>
      <c r="I15" s="13"/>
      <c r="J15" s="13"/>
      <c r="K15" s="13"/>
    </row>
    <row r="16" spans="1:11" ht="17.25">
      <c r="A16" s="66" t="str">
        <f>+'S&amp;D'!A22</f>
        <v>Atmos Energy Corp</v>
      </c>
      <c r="B16" s="93" t="str">
        <f>+'S&amp;D'!B22</f>
        <v>ATO</v>
      </c>
      <c r="C16" s="93" t="str">
        <f>+'S&amp;D'!C22</f>
        <v>Gas Utility</v>
      </c>
      <c r="D16" s="63">
        <f>+'S&amp;D'!G22</f>
        <v>112.07</v>
      </c>
      <c r="E16" s="65">
        <v>5.6</v>
      </c>
      <c r="F16" s="69">
        <f>+E16/D16</f>
        <v>4.996876951905059E-2</v>
      </c>
      <c r="G16" s="65">
        <v>6</v>
      </c>
      <c r="H16" s="69">
        <f>+G16/D16</f>
        <v>5.3537967341839923E-2</v>
      </c>
      <c r="I16" s="65">
        <v>7.85</v>
      </c>
      <c r="J16" s="69">
        <f>+I16/D16</f>
        <v>7.004550727224057E-2</v>
      </c>
      <c r="K16" s="394">
        <f t="shared" ref="K16:K26" si="0">RATE(3,,-G16,I16)</f>
        <v>9.37199538231413E-2</v>
      </c>
    </row>
    <row r="17" spans="1:11" ht="17.25">
      <c r="A17" s="66" t="str">
        <f>+'S&amp;D'!A23</f>
        <v>Black Hills Corporation</v>
      </c>
      <c r="B17" s="93" t="str">
        <f>+'S&amp;D'!B23</f>
        <v>BKH</v>
      </c>
      <c r="C17" s="93" t="str">
        <f>+'S&amp;D'!C23</f>
        <v>Electric Utility - West</v>
      </c>
      <c r="D17" s="63">
        <f>+'S&amp;D'!G23</f>
        <v>70.34</v>
      </c>
      <c r="E17" s="65">
        <v>3.74</v>
      </c>
      <c r="F17" s="69">
        <f t="shared" ref="F17:F26" si="1">+E17/D17</f>
        <v>5.3170315609894797E-2</v>
      </c>
      <c r="G17" s="65">
        <v>4.05</v>
      </c>
      <c r="H17" s="69">
        <f t="shared" ref="H17:H26" si="2">+G17/D17</f>
        <v>5.7577480807506395E-2</v>
      </c>
      <c r="I17" s="65">
        <v>5.25</v>
      </c>
      <c r="J17" s="69">
        <f t="shared" ref="J17:J26" si="3">+I17/D17</f>
        <v>7.4637475120841623E-2</v>
      </c>
      <c r="K17" s="394">
        <f t="shared" si="0"/>
        <v>9.0355436729529975E-2</v>
      </c>
    </row>
    <row r="18" spans="1:11" ht="17.25">
      <c r="A18" s="66" t="str">
        <f>+'S&amp;D'!A24</f>
        <v>CenterPoint Energy Inc.</v>
      </c>
      <c r="B18" s="93" t="str">
        <f>+'S&amp;D'!B24</f>
        <v>CNP</v>
      </c>
      <c r="C18" s="93" t="str">
        <f>+'S&amp;D'!C24</f>
        <v>Electric Utility - Central</v>
      </c>
      <c r="D18" s="63">
        <f>+'S&amp;D'!G24</f>
        <v>29.99</v>
      </c>
      <c r="E18" s="65">
        <v>1.38</v>
      </c>
      <c r="F18" s="69">
        <f t="shared" si="1"/>
        <v>4.6015338446148718E-2</v>
      </c>
      <c r="G18" s="65">
        <v>1.5</v>
      </c>
      <c r="H18" s="69">
        <f t="shared" si="2"/>
        <v>5.0016672224074694E-2</v>
      </c>
      <c r="I18" s="65">
        <v>1.85</v>
      </c>
      <c r="J18" s="69">
        <f t="shared" si="3"/>
        <v>6.168722907635879E-2</v>
      </c>
      <c r="K18" s="394">
        <f t="shared" si="0"/>
        <v>7.2408274971908354E-2</v>
      </c>
    </row>
    <row r="19" spans="1:11" ht="17.25">
      <c r="A19" s="66" t="str">
        <f>+'S&amp;D'!A25</f>
        <v>CMS Energy Corporation</v>
      </c>
      <c r="B19" s="93" t="str">
        <f>+'S&amp;D'!B25</f>
        <v>CMS</v>
      </c>
      <c r="C19" s="93" t="str">
        <f>+'S&amp;D'!C25</f>
        <v>Electric Utility - Central</v>
      </c>
      <c r="D19" s="63">
        <f>+'S&amp;D'!G25</f>
        <v>63.33</v>
      </c>
      <c r="E19" s="65">
        <v>2.84</v>
      </c>
      <c r="F19" s="69">
        <f t="shared" si="1"/>
        <v>4.4844465498184112E-2</v>
      </c>
      <c r="G19" s="65">
        <v>3.05</v>
      </c>
      <c r="H19" s="69">
        <f t="shared" si="2"/>
        <v>4.8160429496289278E-2</v>
      </c>
      <c r="I19" s="65">
        <v>3.75</v>
      </c>
      <c r="J19" s="69">
        <f t="shared" si="3"/>
        <v>5.9213642823306489E-2</v>
      </c>
      <c r="K19" s="394">
        <f t="shared" si="0"/>
        <v>7.1298448938947684E-2</v>
      </c>
    </row>
    <row r="20" spans="1:11" ht="17.25">
      <c r="A20" s="66" t="str">
        <f>+'S&amp;D'!A26</f>
        <v>New Jersey Resources Corp</v>
      </c>
      <c r="B20" s="93" t="str">
        <f>+'S&amp;D'!B26</f>
        <v>NJR</v>
      </c>
      <c r="C20" s="93" t="str">
        <f>+'S&amp;D'!C26</f>
        <v>Gas Utility</v>
      </c>
      <c r="D20" s="63">
        <f>+'S&amp;D'!G26</f>
        <v>49.62</v>
      </c>
      <c r="E20" s="65">
        <v>2.5</v>
      </c>
      <c r="F20" s="69">
        <f t="shared" si="1"/>
        <v>5.0382910116888356E-2</v>
      </c>
      <c r="G20" s="65">
        <v>2.75</v>
      </c>
      <c r="H20" s="69">
        <f t="shared" si="2"/>
        <v>5.5421201128577187E-2</v>
      </c>
      <c r="I20" s="65">
        <v>3.45</v>
      </c>
      <c r="J20" s="69">
        <f t="shared" si="3"/>
        <v>6.9528415961305934E-2</v>
      </c>
      <c r="K20" s="394">
        <f t="shared" si="0"/>
        <v>7.8521483511073006E-2</v>
      </c>
    </row>
    <row r="21" spans="1:11" ht="17.25">
      <c r="A21" s="66" t="str">
        <f>+'S&amp;D'!A27</f>
        <v>NISOURCE Inc.</v>
      </c>
      <c r="B21" s="93" t="str">
        <f>+'S&amp;D'!B27</f>
        <v>NI</v>
      </c>
      <c r="C21" s="93" t="str">
        <f>+'S&amp;D'!C27</f>
        <v>Gas Utility</v>
      </c>
      <c r="D21" s="63">
        <f>+'S&amp;D'!G27</f>
        <v>27.42</v>
      </c>
      <c r="E21" s="65">
        <v>1.45</v>
      </c>
      <c r="F21" s="69">
        <f t="shared" si="1"/>
        <v>5.2881108679795764E-2</v>
      </c>
      <c r="G21" s="65">
        <v>1.55</v>
      </c>
      <c r="H21" s="69">
        <f t="shared" si="2"/>
        <v>5.6528081692195475E-2</v>
      </c>
      <c r="I21" s="65">
        <v>2.1</v>
      </c>
      <c r="J21" s="69">
        <f t="shared" si="3"/>
        <v>7.6586433260393869E-2</v>
      </c>
      <c r="K21" s="394">
        <f t="shared" si="0"/>
        <v>0.10652831653505786</v>
      </c>
    </row>
    <row r="22" spans="1:11" ht="17.25">
      <c r="A22" s="66" t="str">
        <f>+'S&amp;D'!A28</f>
        <v xml:space="preserve">Northwest Natural Holding Company </v>
      </c>
      <c r="B22" s="93" t="str">
        <f>+'S&amp;D'!B28</f>
        <v>NWN</v>
      </c>
      <c r="C22" s="93" t="str">
        <f>+'S&amp;D'!C28</f>
        <v>Gas Utility</v>
      </c>
      <c r="D22" s="63">
        <f>+'S&amp;D'!G28</f>
        <v>47.59</v>
      </c>
      <c r="E22" s="65">
        <v>2.6</v>
      </c>
      <c r="F22" s="69">
        <f t="shared" si="1"/>
        <v>5.4633326329060726E-2</v>
      </c>
      <c r="G22" s="65">
        <v>2.75</v>
      </c>
      <c r="H22" s="69">
        <f t="shared" si="2"/>
        <v>5.7785249001891151E-2</v>
      </c>
      <c r="I22" s="65">
        <v>3.25</v>
      </c>
      <c r="J22" s="69">
        <f t="shared" si="3"/>
        <v>6.8291657911325909E-2</v>
      </c>
      <c r="K22" s="394">
        <f t="shared" si="0"/>
        <v>5.7264270346431237E-2</v>
      </c>
    </row>
    <row r="23" spans="1:11" ht="17.25">
      <c r="A23" s="66" t="str">
        <f>+'S&amp;D'!A29</f>
        <v>One Gas INC</v>
      </c>
      <c r="B23" s="93" t="str">
        <f>+'S&amp;D'!B29</f>
        <v>OGS</v>
      </c>
      <c r="C23" s="93" t="str">
        <f>+'S&amp;D'!C29</f>
        <v>Gas Utility</v>
      </c>
      <c r="D23" s="63">
        <f>+'S&amp;D'!G29</f>
        <v>75.72</v>
      </c>
      <c r="E23" s="65">
        <v>4.05</v>
      </c>
      <c r="F23" s="69">
        <f t="shared" si="1"/>
        <v>5.3486529318541996E-2</v>
      </c>
      <c r="G23" s="65">
        <v>4.25</v>
      </c>
      <c r="H23" s="69">
        <f t="shared" si="2"/>
        <v>5.6127839408346543E-2</v>
      </c>
      <c r="I23" s="65">
        <v>5.6</v>
      </c>
      <c r="J23" s="69">
        <f t="shared" si="3"/>
        <v>7.3956682514527208E-2</v>
      </c>
      <c r="K23" s="394">
        <f t="shared" si="0"/>
        <v>9.6309133573657904E-2</v>
      </c>
    </row>
    <row r="24" spans="1:11" ht="17.25">
      <c r="A24" s="66" t="str">
        <f>+'S&amp;D'!A30</f>
        <v>Southwest Gas Holdings, Inc</v>
      </c>
      <c r="B24" s="93" t="str">
        <f>+'S&amp;D'!B30</f>
        <v>SWX</v>
      </c>
      <c r="C24" s="93" t="str">
        <f>+'S&amp;D'!C30</f>
        <v>Gas Utility</v>
      </c>
      <c r="D24" s="63">
        <f>+'S&amp;D'!G30</f>
        <v>61.88</v>
      </c>
      <c r="E24" s="65">
        <v>3.5</v>
      </c>
      <c r="F24" s="69">
        <f t="shared" si="1"/>
        <v>5.6561085972850679E-2</v>
      </c>
      <c r="G24" s="65">
        <v>4</v>
      </c>
      <c r="H24" s="69">
        <f t="shared" si="2"/>
        <v>6.464124111182934E-2</v>
      </c>
      <c r="I24" s="65">
        <v>5.5</v>
      </c>
      <c r="J24" s="69">
        <f t="shared" si="3"/>
        <v>8.8881706528765342E-2</v>
      </c>
      <c r="K24" s="394">
        <f t="shared" si="0"/>
        <v>0.11199004528465807</v>
      </c>
    </row>
    <row r="25" spans="1:11" ht="17.25">
      <c r="A25" s="66" t="str">
        <f>+'S&amp;D'!A31</f>
        <v>Spire Inc / Laclede Group Inc</v>
      </c>
      <c r="B25" s="93" t="str">
        <f>+'S&amp;D'!B31</f>
        <v>SR</v>
      </c>
      <c r="C25" s="93" t="str">
        <f>+'S&amp;D'!C31</f>
        <v>Gas Utility</v>
      </c>
      <c r="D25" s="63">
        <f>+'S&amp;D'!G31</f>
        <v>68.86</v>
      </c>
      <c r="E25" s="65">
        <v>3.95</v>
      </c>
      <c r="F25" s="69">
        <f t="shared" si="1"/>
        <v>5.7362765030496664E-2</v>
      </c>
      <c r="G25" s="65">
        <v>4.6500000000000004</v>
      </c>
      <c r="H25" s="69">
        <f t="shared" si="2"/>
        <v>6.7528318327040371E-2</v>
      </c>
      <c r="I25" s="65">
        <v>5.5</v>
      </c>
      <c r="J25" s="69">
        <f t="shared" si="3"/>
        <v>7.9872204472843447E-2</v>
      </c>
      <c r="K25" s="394">
        <f t="shared" si="0"/>
        <v>5.7555688296786429E-2</v>
      </c>
    </row>
    <row r="26" spans="1:11" ht="17.25">
      <c r="A26" s="66" t="str">
        <f>+'S&amp;D'!A32</f>
        <v>WEC Energy Group</v>
      </c>
      <c r="B26" s="93" t="str">
        <f>+'S&amp;D'!B32</f>
        <v>WEC</v>
      </c>
      <c r="C26" s="93" t="str">
        <f>+'S&amp;D'!C32</f>
        <v>Electric Utility - Central</v>
      </c>
      <c r="D26" s="63">
        <f>+'S&amp;D'!G32</f>
        <v>93.76</v>
      </c>
      <c r="E26" s="65">
        <v>4.46</v>
      </c>
      <c r="F26" s="69">
        <f t="shared" si="1"/>
        <v>4.7568259385665529E-2</v>
      </c>
      <c r="G26" s="65">
        <v>4.5999999999999996</v>
      </c>
      <c r="H26" s="69">
        <f t="shared" si="2"/>
        <v>4.906143344709897E-2</v>
      </c>
      <c r="I26" s="65">
        <v>5.9</v>
      </c>
      <c r="J26" s="69">
        <f t="shared" si="3"/>
        <v>6.2926621160409563E-2</v>
      </c>
      <c r="K26" s="394">
        <f t="shared" si="0"/>
        <v>8.6504159591212298E-2</v>
      </c>
    </row>
    <row r="27" spans="1:11" ht="17.25" thickBot="1">
      <c r="A27" s="13"/>
      <c r="B27" s="13"/>
      <c r="C27" s="45"/>
      <c r="D27" s="48"/>
      <c r="E27" s="48"/>
      <c r="F27" s="48"/>
      <c r="G27" s="48"/>
      <c r="H27" s="48"/>
      <c r="I27" s="48"/>
      <c r="J27" s="48"/>
      <c r="K27" s="48"/>
    </row>
    <row r="28" spans="1:11" ht="17.25" thickTop="1">
      <c r="A28" s="13"/>
      <c r="B28" s="13"/>
      <c r="D28" s="15" t="s">
        <v>56</v>
      </c>
      <c r="E28" s="17">
        <v>5.6</v>
      </c>
      <c r="F28" s="311">
        <v>5.74E-2</v>
      </c>
      <c r="G28" s="17">
        <v>6</v>
      </c>
      <c r="H28" s="311">
        <v>6.7500000000000004E-2</v>
      </c>
      <c r="I28" s="17">
        <v>7.85</v>
      </c>
      <c r="J28" s="311">
        <v>8.8900000000000007E-2</v>
      </c>
      <c r="K28" s="311">
        <v>0.112</v>
      </c>
    </row>
    <row r="29" spans="1:11" ht="16.5">
      <c r="A29" s="13"/>
      <c r="B29" s="13"/>
      <c r="D29" s="15" t="s">
        <v>57</v>
      </c>
      <c r="E29" s="315">
        <v>1.38</v>
      </c>
      <c r="F29" s="312">
        <v>4.48E-2</v>
      </c>
      <c r="G29" s="315">
        <v>1.55</v>
      </c>
      <c r="H29" s="312">
        <v>4.9099999999999998E-2</v>
      </c>
      <c r="I29" s="315">
        <v>1.85</v>
      </c>
      <c r="J29" s="312">
        <v>5.9200000000000003E-2</v>
      </c>
      <c r="K29" s="312">
        <v>5.7299999999999997E-2</v>
      </c>
    </row>
    <row r="30" spans="1:11" ht="16.5">
      <c r="A30" s="13"/>
      <c r="B30" s="13"/>
      <c r="D30" s="15" t="s">
        <v>18</v>
      </c>
      <c r="E30" s="18">
        <f t="shared" ref="E30:K30" si="4">MEDIAN(E16:E26)</f>
        <v>3.5</v>
      </c>
      <c r="F30" s="57">
        <f t="shared" si="4"/>
        <v>5.2881108679795764E-2</v>
      </c>
      <c r="G30" s="18">
        <f t="shared" si="4"/>
        <v>4</v>
      </c>
      <c r="H30" s="57">
        <f t="shared" si="4"/>
        <v>5.6127839408346543E-2</v>
      </c>
      <c r="I30" s="18">
        <f t="shared" si="4"/>
        <v>5.25</v>
      </c>
      <c r="J30" s="57">
        <f t="shared" si="4"/>
        <v>7.004550727224057E-2</v>
      </c>
      <c r="K30" s="57">
        <f t="shared" si="4"/>
        <v>8.6504159591212298E-2</v>
      </c>
    </row>
    <row r="31" spans="1:11" ht="16.5">
      <c r="A31" s="13"/>
      <c r="B31" s="13"/>
      <c r="D31" s="15" t="s">
        <v>474</v>
      </c>
      <c r="E31" s="22">
        <f t="shared" ref="E31:K31" si="5">AVERAGE(E16:E26)</f>
        <v>3.2790909090909093</v>
      </c>
      <c r="F31" s="59">
        <f t="shared" si="5"/>
        <v>5.1534079446052546E-2</v>
      </c>
      <c r="G31" s="22">
        <f t="shared" si="5"/>
        <v>3.5590909090909095</v>
      </c>
      <c r="H31" s="59">
        <f t="shared" si="5"/>
        <v>5.6035083089699025E-2</v>
      </c>
      <c r="I31" s="22">
        <f t="shared" si="5"/>
        <v>4.5454545454545459</v>
      </c>
      <c r="J31" s="59">
        <f t="shared" si="5"/>
        <v>7.1420688736574436E-2</v>
      </c>
      <c r="K31" s="59">
        <f t="shared" si="5"/>
        <v>8.3859564691127653E-2</v>
      </c>
    </row>
    <row r="32" spans="1:11" ht="16.5">
      <c r="A32" s="13"/>
      <c r="B32" s="13"/>
      <c r="D32" s="13"/>
      <c r="E32" s="13"/>
      <c r="F32" s="13"/>
      <c r="G32" s="13"/>
      <c r="H32" s="13"/>
      <c r="I32" s="13"/>
      <c r="J32" s="13"/>
      <c r="K32" s="13"/>
    </row>
    <row r="33" spans="1:11" ht="26.25">
      <c r="A33" s="13"/>
      <c r="B33" s="13"/>
      <c r="C33" s="13"/>
      <c r="D33" s="13"/>
      <c r="E33" s="13"/>
      <c r="F33" s="51" t="s">
        <v>0</v>
      </c>
      <c r="G33" s="67" t="s">
        <v>0</v>
      </c>
      <c r="H33" s="13"/>
      <c r="I33" s="13"/>
      <c r="J33" s="13"/>
      <c r="K33" s="13"/>
    </row>
    <row r="34" spans="1:11" ht="18.75">
      <c r="A34" s="245" t="s">
        <v>307</v>
      </c>
    </row>
  </sheetData>
  <pageMargins left="0.25" right="0.25" top="0.75" bottom="0.75" header="0.3" footer="0.3"/>
  <pageSetup scale="57"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CFB36B36E7EE46B860E7832FBC9DDB" ma:contentTypeVersion="1" ma:contentTypeDescription="Create a new document." ma:contentTypeScope="" ma:versionID="bff476506a81a32367fb2f95cb3debc2">
  <xsd:schema xmlns:xsd="http://www.w3.org/2001/XMLSchema" xmlns:xs="http://www.w3.org/2001/XMLSchema" xmlns:p="http://schemas.microsoft.com/office/2006/metadata/properties" xmlns:ns2="f94b9277-b0a3-4d91-bade-04ea91219630" targetNamespace="http://schemas.microsoft.com/office/2006/metadata/properties" ma:root="true" ma:fieldsID="93ea9a64a9ab47897a537ad3dd05bc89" ns2:_="">
    <xsd:import namespace="f94b9277-b0a3-4d91-bade-04ea9121963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4b9277-b0a3-4d91-bade-04ea9121963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9E8061F-6593-436C-93FC-F957A7313A86}"/>
</file>

<file path=customXml/itemProps2.xml><?xml version="1.0" encoding="utf-8"?>
<ds:datastoreItem xmlns:ds="http://schemas.openxmlformats.org/officeDocument/2006/customXml" ds:itemID="{57CEF8E1-D82B-46B7-BBDA-EE5642C8E910}"/>
</file>

<file path=customXml/itemProps3.xml><?xml version="1.0" encoding="utf-8"?>
<ds:datastoreItem xmlns:ds="http://schemas.openxmlformats.org/officeDocument/2006/customXml" ds:itemID="{292EC8A8-BFF9-44A6-935A-BE0C9ADB059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19</vt:i4>
      </vt:variant>
    </vt:vector>
  </HeadingPairs>
  <TitlesOfParts>
    <vt:vector size="39" baseType="lpstr">
      <vt:lpstr>Cover Sheet</vt:lpstr>
      <vt:lpstr>Yield CapRate</vt:lpstr>
      <vt:lpstr>Direct CapRates</vt:lpstr>
      <vt:lpstr>S&amp;D</vt:lpstr>
      <vt:lpstr>Market to Book Ratios</vt:lpstr>
      <vt:lpstr>Maintenance CapEx</vt:lpstr>
      <vt:lpstr>Beta for CAPM</vt:lpstr>
      <vt:lpstr>Dividends </vt:lpstr>
      <vt:lpstr>Earnings</vt:lpstr>
      <vt:lpstr>Direct Debt</vt:lpstr>
      <vt:lpstr>Yield Debt</vt:lpstr>
      <vt:lpstr>Direct GCF</vt:lpstr>
      <vt:lpstr>Direct NOPAT</vt:lpstr>
      <vt:lpstr>Growth &amp; Inflation Rates</vt:lpstr>
      <vt:lpstr>Indicated Yield Equity Rates</vt:lpstr>
      <vt:lpstr>CAPM</vt:lpstr>
      <vt:lpstr>Single Stage Div Growth Model</vt:lpstr>
      <vt:lpstr>Two-Stage Dividend Growth Model</vt:lpstr>
      <vt:lpstr>Multiples</vt:lpstr>
      <vt:lpstr>Info</vt:lpstr>
      <vt:lpstr>'Beta for CAPM'!Print_Area</vt:lpstr>
      <vt:lpstr>CAPM!Print_Area</vt:lpstr>
      <vt:lpstr>'Cover Sheet'!Print_Area</vt:lpstr>
      <vt:lpstr>'Direct CapRates'!Print_Area</vt:lpstr>
      <vt:lpstr>'Direct Debt'!Print_Area</vt:lpstr>
      <vt:lpstr>'Direct GCF'!Print_Area</vt:lpstr>
      <vt:lpstr>'Direct NOPAT'!Print_Area</vt:lpstr>
      <vt:lpstr>'Dividends '!Print_Area</vt:lpstr>
      <vt:lpstr>Earnings!Print_Area</vt:lpstr>
      <vt:lpstr>'Growth &amp; Inflation Rates'!Print_Area</vt:lpstr>
      <vt:lpstr>'Indicated Yield Equity Rates'!Print_Area</vt:lpstr>
      <vt:lpstr>'Maintenance CapEx'!Print_Area</vt:lpstr>
      <vt:lpstr>'Market to Book Ratios'!Print_Area</vt:lpstr>
      <vt:lpstr>Multiples!Print_Area</vt:lpstr>
      <vt:lpstr>'S&amp;D'!Print_Area</vt:lpstr>
      <vt:lpstr>'Single Stage Div Growth Model'!Print_Area</vt:lpstr>
      <vt:lpstr>'Two-Stage Dividend Growth Model'!Print_Area</vt:lpstr>
      <vt:lpstr>'Yield CapRate'!Print_Area</vt:lpstr>
      <vt:lpstr>'Yield Debt'!Print_Area</vt:lpstr>
    </vt:vector>
  </TitlesOfParts>
  <Company>Commonwealth of Kentucky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 Cap Rate Study - Natural Gas Utility Distribution</dc:title>
  <dc:creator>%USERNAME%</dc:creator>
  <cp:lastModifiedBy>Baker, Mike A (DOR)</cp:lastModifiedBy>
  <cp:lastPrinted>2023-05-30T16:50:43Z</cp:lastPrinted>
  <dcterms:created xsi:type="dcterms:W3CDTF">2016-02-12T19:29:24Z</dcterms:created>
  <dcterms:modified xsi:type="dcterms:W3CDTF">2023-06-06T16:04:56Z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0x01010019CFB36B36E7EE46B860E7832FBC9DDB</vt:lpwstr>
  </property>
</Properties>
</file>